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d.docs.live.net/730339626d346c7b/xampp/htdocs/php_ap/!Homepage_STV/clickandbuilds/STVArtlenburgvon1875eV/Daten-ap/intern/"/>
    </mc:Choice>
  </mc:AlternateContent>
  <xr:revisionPtr revIDLastSave="54" documentId="8_{C5541380-EE1E-4B56-A7AC-5956FEE7AAED}" xr6:coauthVersionLast="47" xr6:coauthVersionMax="47" xr10:uidLastSave="{21E1E0CB-BE70-4EA3-9B79-98A8F38B4744}"/>
  <bookViews>
    <workbookView xWindow="-120" yWindow="-120" windowWidth="29040" windowHeight="15840" firstSheet="2" activeTab="3" xr2:uid="{00000000-000D-0000-FFFF-FFFF00000000}"/>
  </bookViews>
  <sheets>
    <sheet name="Berechnung_2019" sheetId="17" state="hidden" r:id="rId1"/>
    <sheet name="Trainer2019" sheetId="16" state="hidden" r:id="rId2"/>
    <sheet name="Abrechnung" sheetId="21" r:id="rId3"/>
    <sheet name="Teilnehmerliste" sheetId="22" r:id="rId4"/>
    <sheet name="Vorgabe_ab_2023" sheetId="19" state="hidden" r:id="rId5"/>
    <sheet name="Beiträge" sheetId="20" state="hidden" r:id="rId6"/>
    <sheet name="Berechnung_2018" sheetId="15" state="hidden" r:id="rId7"/>
    <sheet name="Kurse2018" sheetId="14" state="hidden" r:id="rId8"/>
    <sheet name="Trainer2018" sheetId="13" state="hidden" r:id="rId9"/>
    <sheet name="Trainer2017" sheetId="11" state="hidden" r:id="rId10"/>
    <sheet name="Berechnung_2017" sheetId="12" state="hidden" r:id="rId11"/>
    <sheet name="emailserie" sheetId="8" state="hidden" r:id="rId12"/>
    <sheet name="emailserie_trainer" sheetId="9" state="hidden" r:id="rId13"/>
    <sheet name="Berechnung_2016" sheetId="6" state="hidden" r:id="rId14"/>
    <sheet name="Trainer2016" sheetId="10" state="hidden" r:id="rId15"/>
    <sheet name="Vorgabe_2016" sheetId="5" state="hidden" r:id="rId16"/>
    <sheet name="Trainer2015" sheetId="7" state="hidden" r:id="rId17"/>
    <sheet name="Berechnung_2015" sheetId="2" state="hidden" r:id="rId18"/>
    <sheet name="Berechnung_2015_1" sheetId="4" state="hidden" r:id="rId19"/>
    <sheet name="Vorgabe_2012" sheetId="1" state="hidden" r:id="rId20"/>
    <sheet name="Übungsleitergehälter_2005" sheetId="3" state="hidden" r:id="rId21"/>
  </sheets>
  <definedNames>
    <definedName name="_xlnm._FilterDatabase" localSheetId="20" hidden="1">Übungsleitergehälter_2005!$A$4:$L$53</definedName>
    <definedName name="Ausbildung" localSheetId="19">Vorgabe_2012!$A$6:$A$10</definedName>
    <definedName name="Ausbildung" localSheetId="15">Vorgabe_2016!$A$4:$A$8</definedName>
    <definedName name="Ausbildung" localSheetId="4">Vorgabe_ab_2023!$A$5:$A$10</definedName>
    <definedName name="Ausbildung">Vorgabe_2012!$A$6:$B$10</definedName>
    <definedName name="AusbildungSTV" localSheetId="15">Vorgabe_2016!$A$4:$A$8</definedName>
    <definedName name="AusbildungSTV" localSheetId="4">Vorgabe_ab_2023!$A$5:$A$10</definedName>
    <definedName name="AusbildungSTV">Vorgabe_2012!$A$6:$A$10</definedName>
    <definedName name="_xlnm.Print_Area" localSheetId="2">Abrechnung!$A$1:$H$45</definedName>
    <definedName name="_xlnm.Print_Area" localSheetId="17">Berechnung_2015!$A$1:$AR$38</definedName>
    <definedName name="_xlnm.Print_Area" localSheetId="18">Berechnung_2015_1!$A$1:$AR$38</definedName>
    <definedName name="_xlnm.Print_Area" localSheetId="13">Berechnung_2016!$A$1:$AR$22</definedName>
    <definedName name="_xlnm.Print_Area" localSheetId="10">Berechnung_2017!$A$1:$AR$22</definedName>
    <definedName name="_xlnm.Print_Area" localSheetId="6">Berechnung_2018!$A$1:$AU$22</definedName>
    <definedName name="_xlnm.Print_Area" localSheetId="0">Berechnung_2019!$A$1:$AM$23</definedName>
    <definedName name="_xlnm.Print_Area" localSheetId="16">Trainer2015!$A$1:$E$6</definedName>
    <definedName name="_xlnm.Print_Area" localSheetId="14">Trainer2016!$A$1:$F$8</definedName>
    <definedName name="_xlnm.Print_Area" localSheetId="9">Trainer2017!$A$1:$H$7</definedName>
    <definedName name="_xlnm.Print_Area" localSheetId="8">Trainer2018!$A$1:$H$7</definedName>
    <definedName name="_xlnm.Print_Area" localSheetId="1">Trainer2019!$A$1:$H$6</definedName>
    <definedName name="_xlnm.Print_Area" localSheetId="19">Vorgabe_2012!$A$1:$E$35</definedName>
    <definedName name="_xlnm.Print_Area" localSheetId="15">Vorgabe_2016!$A$1:$E$33</definedName>
    <definedName name="_xlnm.Print_Area" localSheetId="4">Vorgabe_ab_2023!$A$1:$CB$47</definedName>
    <definedName name="_xlnm.Print_Titles" localSheetId="17">Berechnung_2015!$A:$B</definedName>
    <definedName name="_xlnm.Print_Titles" localSheetId="18">Berechnung_2015_1!$A:$B</definedName>
    <definedName name="_xlnm.Print_Titles" localSheetId="13">Berechnung_2016!$A:$B</definedName>
    <definedName name="_xlnm.Print_Titles" localSheetId="10">Berechnung_2017!$A:$B</definedName>
    <definedName name="_xlnm.Print_Titles" localSheetId="6">Berechnung_2018!$A:$B</definedName>
    <definedName name="_xlnm.Print_Titles" localSheetId="0">Berechnung_2019!$A:$B</definedName>
    <definedName name="_xlnm.Print_Titles" localSheetId="3">Teilnehmerliste!$A:$B,Teilnehmerliste!$1:$2</definedName>
    <definedName name="Erfahrung" localSheetId="15">Vorgabe_2016!$A$17:$A$20</definedName>
    <definedName name="Erfahrung" localSheetId="4">Vorgabe_ab_2023!$A$19:$A$22</definedName>
    <definedName name="Erfahrung">Vorgabe_2012!$A$19:$A$22</definedName>
    <definedName name="Gruppengröße" localSheetId="15">Vorgabe_2016!$A$24:$A$28</definedName>
    <definedName name="Gruppengröße" localSheetId="4">Vorgabe_ab_2023!$A$26:$A$30</definedName>
    <definedName name="Gruppengröße">Vorgabe_2012!$A$26:$A$30</definedName>
    <definedName name="Lizenz" localSheetId="15">Vorgabe_2016!$A$12:$A$13</definedName>
    <definedName name="Lizenz" localSheetId="4">Vorgabe_ab_2023!$A$14:$A$15</definedName>
    <definedName name="Lizenz">Vorgabe_2012!$A$14:$A$15</definedName>
    <definedName name="Wettkampfbeteiligung" localSheetId="19">Vorgabe_2012!$A$34:$A$35</definedName>
    <definedName name="Wettkampfbeteiligung" localSheetId="15">Vorgabe_2016!$A$32:$A$33</definedName>
    <definedName name="Wettkampfbeteiligung" localSheetId="4">Vorgabe_ab_2023!$A$34:$A$35</definedName>
    <definedName name="Wettkampfbeteiligung">Vorgabe_2012!$A$34:$A$35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21" l="1"/>
  <c r="F28" i="21"/>
  <c r="F27" i="21"/>
  <c r="F26" i="21"/>
  <c r="F25" i="21"/>
  <c r="F24" i="21"/>
  <c r="F23" i="21"/>
  <c r="F22" i="21"/>
  <c r="F21" i="21"/>
  <c r="F20" i="21"/>
  <c r="F19" i="21"/>
  <c r="F18" i="21"/>
  <c r="F17" i="21"/>
  <c r="F16" i="21"/>
  <c r="F15" i="21"/>
  <c r="F14" i="21"/>
  <c r="F13" i="21"/>
  <c r="F12" i="21"/>
  <c r="H8" i="21"/>
  <c r="H6" i="21"/>
  <c r="H7" i="21"/>
  <c r="AY5" i="19"/>
  <c r="AZ5" i="19"/>
  <c r="BA5" i="19"/>
  <c r="BC5" i="19"/>
  <c r="BD5" i="19"/>
  <c r="BV5" i="19"/>
  <c r="BW5" i="19"/>
  <c r="A37" i="21"/>
  <c r="C39" i="21"/>
  <c r="H5" i="21"/>
  <c r="C41" i="21"/>
  <c r="D31" i="21"/>
  <c r="CA19" i="19"/>
  <c r="CA15" i="19"/>
  <c r="CA8" i="19"/>
  <c r="BZ4" i="19"/>
  <c r="BZ45" i="19" s="1"/>
  <c r="BY4" i="19"/>
  <c r="BY44" i="19" s="1"/>
  <c r="BW19" i="19"/>
  <c r="BV19" i="19"/>
  <c r="BW14" i="19"/>
  <c r="BV14" i="19"/>
  <c r="BU4" i="19"/>
  <c r="BU44" i="19" s="1"/>
  <c r="BS22" i="19"/>
  <c r="BS15" i="19"/>
  <c r="BR15" i="19"/>
  <c r="BS8" i="19"/>
  <c r="BQ4" i="19"/>
  <c r="BQ44" i="19" s="1"/>
  <c r="BO22" i="19"/>
  <c r="BO15" i="19"/>
  <c r="BN15" i="19"/>
  <c r="BO8" i="19"/>
  <c r="BM4" i="19"/>
  <c r="BM44" i="19" s="1"/>
  <c r="BJ15" i="19"/>
  <c r="BK21" i="19"/>
  <c r="BK15" i="19"/>
  <c r="BK8" i="19"/>
  <c r="BI4" i="19"/>
  <c r="BI44" i="19" s="1"/>
  <c r="AZ19" i="19"/>
  <c r="AZ14" i="19"/>
  <c r="AV15" i="19"/>
  <c r="AR14" i="19"/>
  <c r="AN15" i="19"/>
  <c r="AJ15" i="19"/>
  <c r="AF15" i="19"/>
  <c r="AG22" i="19"/>
  <c r="AG15" i="19"/>
  <c r="AG8" i="19"/>
  <c r="AB15" i="19"/>
  <c r="X15" i="19"/>
  <c r="T14" i="19"/>
  <c r="U14" i="19"/>
  <c r="P14" i="19"/>
  <c r="C27" i="19"/>
  <c r="C20" i="19"/>
  <c r="C21" i="19" s="1"/>
  <c r="BJ21" i="19" s="1"/>
  <c r="C8" i="19"/>
  <c r="BR8" i="19" s="1"/>
  <c r="C9" i="19"/>
  <c r="C10" i="19" s="1"/>
  <c r="BC29" i="19"/>
  <c r="AV8" i="19"/>
  <c r="AN8" i="19"/>
  <c r="AJ8" i="19"/>
  <c r="AB8" i="19"/>
  <c r="X8" i="19"/>
  <c r="T8" i="19"/>
  <c r="AU28" i="19"/>
  <c r="BG7" i="19"/>
  <c r="BG4" i="19" s="1"/>
  <c r="BF6" i="19"/>
  <c r="BF4" i="19" s="1"/>
  <c r="BC19" i="19"/>
  <c r="BD14" i="19"/>
  <c r="BC14" i="19"/>
  <c r="AY28" i="19"/>
  <c r="BA19" i="19"/>
  <c r="AY19" i="19"/>
  <c r="AU20" i="19"/>
  <c r="BA14" i="19"/>
  <c r="AY14" i="19"/>
  <c r="AW15" i="19"/>
  <c r="AU15" i="19"/>
  <c r="AU8" i="19"/>
  <c r="AQ29" i="19"/>
  <c r="AS14" i="19"/>
  <c r="AQ14" i="19"/>
  <c r="AQ21" i="19"/>
  <c r="AM21" i="19"/>
  <c r="AQ8" i="19"/>
  <c r="AM28" i="19"/>
  <c r="AO15" i="19"/>
  <c r="AM15" i="19"/>
  <c r="AM8" i="19"/>
  <c r="AI29" i="19"/>
  <c r="AI22" i="19"/>
  <c r="AK15" i="19"/>
  <c r="AI15" i="19"/>
  <c r="AI8" i="19"/>
  <c r="AE29" i="19"/>
  <c r="AE22" i="19"/>
  <c r="AE15" i="19"/>
  <c r="AE8" i="19"/>
  <c r="AA27" i="19"/>
  <c r="AA22" i="19"/>
  <c r="AC15" i="19"/>
  <c r="AA15" i="19"/>
  <c r="AA8" i="19"/>
  <c r="Y15" i="19"/>
  <c r="W15" i="19"/>
  <c r="W29" i="19"/>
  <c r="W22" i="19"/>
  <c r="W8" i="19"/>
  <c r="S29" i="19"/>
  <c r="S22" i="19"/>
  <c r="S14" i="19"/>
  <c r="S8" i="19"/>
  <c r="O30" i="19"/>
  <c r="O22" i="19"/>
  <c r="Q14" i="19"/>
  <c r="O14" i="19"/>
  <c r="O8" i="19"/>
  <c r="T5" i="20"/>
  <c r="U5" i="20"/>
  <c r="T6" i="20" s="1"/>
  <c r="U6" i="20" s="1"/>
  <c r="T7" i="20" s="1"/>
  <c r="U7" i="20" s="1"/>
  <c r="T8" i="20" s="1"/>
  <c r="U8" i="20" s="1"/>
  <c r="T9" i="20" s="1"/>
  <c r="U9" i="20" s="1"/>
  <c r="T10" i="20" s="1"/>
  <c r="U10" i="20" s="1"/>
  <c r="Q5" i="20"/>
  <c r="P6" i="20" s="1"/>
  <c r="Q6" i="20" s="1"/>
  <c r="P7" i="20" s="1"/>
  <c r="Q7" i="20" s="1"/>
  <c r="P8" i="20" s="1"/>
  <c r="Q8" i="20" s="1"/>
  <c r="P9" i="20" s="1"/>
  <c r="Q9" i="20" s="1"/>
  <c r="P10" i="20" s="1"/>
  <c r="Q10" i="20" s="1"/>
  <c r="M5" i="20"/>
  <c r="L6" i="20" s="1"/>
  <c r="M6" i="20" s="1"/>
  <c r="L7" i="20" s="1"/>
  <c r="M7" i="20" s="1"/>
  <c r="L8" i="20" s="1"/>
  <c r="M8" i="20" s="1"/>
  <c r="L9" i="20" s="1"/>
  <c r="M9" i="20" s="1"/>
  <c r="L10" i="20" s="1"/>
  <c r="M10" i="20" s="1"/>
  <c r="U4" i="20"/>
  <c r="Q4" i="20"/>
  <c r="M4" i="20"/>
  <c r="Q3" i="16"/>
  <c r="Q5" i="16"/>
  <c r="H4" i="20"/>
  <c r="H7" i="20"/>
  <c r="H8" i="20"/>
  <c r="H9" i="20"/>
  <c r="G6" i="20"/>
  <c r="I6" i="20"/>
  <c r="H3" i="20"/>
  <c r="G5" i="20"/>
  <c r="I5" i="20"/>
  <c r="I9" i="20"/>
  <c r="I8" i="20"/>
  <c r="I7" i="20"/>
  <c r="I4" i="20"/>
  <c r="I3" i="20"/>
  <c r="E4" i="20"/>
  <c r="E5" i="20"/>
  <c r="E6" i="20"/>
  <c r="E7" i="20"/>
  <c r="E8" i="20"/>
  <c r="E9" i="20"/>
  <c r="E3" i="20"/>
  <c r="H6" i="20"/>
  <c r="E11" i="20"/>
  <c r="H5" i="20"/>
  <c r="Q4" i="16"/>
  <c r="I11" i="20"/>
  <c r="N2" i="16"/>
  <c r="M2" i="16"/>
  <c r="L2" i="16"/>
  <c r="K2" i="16"/>
  <c r="J2" i="16"/>
  <c r="I13" i="20"/>
  <c r="N5" i="16"/>
  <c r="K5" i="16"/>
  <c r="J5" i="16"/>
  <c r="J4" i="16"/>
  <c r="P4" i="16" s="1"/>
  <c r="R4" i="16" s="1"/>
  <c r="S4" i="16" s="1"/>
  <c r="N3" i="16"/>
  <c r="K3" i="16"/>
  <c r="G10" i="19"/>
  <c r="G11" i="19"/>
  <c r="AO19" i="17"/>
  <c r="AL19" i="17"/>
  <c r="AI19" i="17"/>
  <c r="AF19" i="17"/>
  <c r="U8" i="19"/>
  <c r="J3" i="16"/>
  <c r="Q8" i="19"/>
  <c r="AW8" i="19"/>
  <c r="AO8" i="19"/>
  <c r="AK8" i="19"/>
  <c r="AC8" i="19"/>
  <c r="AS8" i="19"/>
  <c r="Y8" i="19"/>
  <c r="AO6" i="17"/>
  <c r="AL6" i="17"/>
  <c r="AI6" i="17"/>
  <c r="AF6" i="17"/>
  <c r="AC6" i="17"/>
  <c r="Z6" i="17"/>
  <c r="W6" i="17"/>
  <c r="T6" i="17"/>
  <c r="Q6" i="17"/>
  <c r="N6" i="17"/>
  <c r="K6" i="17"/>
  <c r="H6" i="17"/>
  <c r="E6" i="17"/>
  <c r="B6" i="17"/>
  <c r="B5" i="17"/>
  <c r="AO4" i="17"/>
  <c r="AL4" i="17"/>
  <c r="AI4" i="17"/>
  <c r="AF4" i="17"/>
  <c r="AC4" i="17"/>
  <c r="Z4" i="17"/>
  <c r="W4" i="17"/>
  <c r="T4" i="17"/>
  <c r="Q4" i="17"/>
  <c r="N4" i="17"/>
  <c r="K4" i="17"/>
  <c r="H4" i="17"/>
  <c r="E4" i="17"/>
  <c r="B4" i="17"/>
  <c r="AO3" i="17"/>
  <c r="AL3" i="17"/>
  <c r="AI3" i="17"/>
  <c r="AF3" i="17"/>
  <c r="AC3" i="17"/>
  <c r="Z3" i="17"/>
  <c r="W3" i="17"/>
  <c r="T3" i="17"/>
  <c r="Q3" i="17"/>
  <c r="N3" i="17"/>
  <c r="K3" i="17"/>
  <c r="H3" i="17"/>
  <c r="E3" i="17"/>
  <c r="B3" i="17"/>
  <c r="AO2" i="17"/>
  <c r="AL2" i="17"/>
  <c r="AI2" i="17"/>
  <c r="H2" i="17"/>
  <c r="B2" i="17"/>
  <c r="D27" i="19"/>
  <c r="D28" i="19" s="1"/>
  <c r="D20" i="19"/>
  <c r="L5" i="16" s="1"/>
  <c r="AO14" i="17"/>
  <c r="AL14" i="17"/>
  <c r="AI14" i="17"/>
  <c r="AF14" i="17"/>
  <c r="H5" i="17"/>
  <c r="T5" i="17"/>
  <c r="K5" i="17"/>
  <c r="W5" i="17"/>
  <c r="N5" i="17"/>
  <c r="Z5" i="17"/>
  <c r="AL5" i="17"/>
  <c r="Q5" i="17"/>
  <c r="AC5" i="17"/>
  <c r="AO5" i="17"/>
  <c r="AF5" i="17"/>
  <c r="AI5" i="17"/>
  <c r="AF2" i="17"/>
  <c r="K2" i="17"/>
  <c r="W2" i="17"/>
  <c r="T2" i="17"/>
  <c r="N2" i="17"/>
  <c r="Z2" i="17"/>
  <c r="E2" i="17"/>
  <c r="Q2" i="17"/>
  <c r="AC2" i="17"/>
  <c r="AO21" i="19"/>
  <c r="AS21" i="19"/>
  <c r="E5" i="17"/>
  <c r="H6" i="13"/>
  <c r="H4" i="13"/>
  <c r="U22" i="19"/>
  <c r="L3" i="16"/>
  <c r="Q22" i="19"/>
  <c r="AK22" i="19"/>
  <c r="AC22" i="19"/>
  <c r="Y22" i="19"/>
  <c r="AN14" i="15"/>
  <c r="AN18" i="15"/>
  <c r="AN6" i="15"/>
  <c r="AN4" i="15"/>
  <c r="AN3" i="15"/>
  <c r="AN2" i="15"/>
  <c r="AH3" i="15"/>
  <c r="AH17" i="15"/>
  <c r="AE17" i="15"/>
  <c r="AB17" i="15"/>
  <c r="Y17" i="15"/>
  <c r="V17" i="15"/>
  <c r="S17" i="15"/>
  <c r="P17" i="15"/>
  <c r="M17" i="15"/>
  <c r="G17" i="15"/>
  <c r="AW14" i="15"/>
  <c r="AW18" i="15"/>
  <c r="AT14" i="15"/>
  <c r="AT18" i="15"/>
  <c r="AQ14" i="15"/>
  <c r="AQ18" i="15"/>
  <c r="AK14" i="15"/>
  <c r="AK18" i="15"/>
  <c r="J14" i="15"/>
  <c r="J18" i="15"/>
  <c r="D14" i="15"/>
  <c r="D18" i="15"/>
  <c r="AW6" i="15"/>
  <c r="AT6" i="15"/>
  <c r="AQ6" i="15"/>
  <c r="AK6" i="15"/>
  <c r="AH6" i="15"/>
  <c r="AE6" i="15"/>
  <c r="AB6" i="15"/>
  <c r="Y6" i="15"/>
  <c r="V6" i="15"/>
  <c r="S6" i="15"/>
  <c r="P6" i="15"/>
  <c r="M6" i="15"/>
  <c r="J6" i="15"/>
  <c r="G6" i="15"/>
  <c r="D6" i="15"/>
  <c r="B6" i="15"/>
  <c r="B5" i="15"/>
  <c r="AW4" i="15"/>
  <c r="AT4" i="15"/>
  <c r="B4" i="15"/>
  <c r="AW3" i="15"/>
  <c r="AT3" i="15"/>
  <c r="AQ3" i="15"/>
  <c r="AK3" i="15"/>
  <c r="AE3" i="15"/>
  <c r="AB3" i="15"/>
  <c r="Y3" i="15"/>
  <c r="V3" i="15"/>
  <c r="S3" i="15"/>
  <c r="P3" i="15"/>
  <c r="M3" i="15"/>
  <c r="J3" i="15"/>
  <c r="G3" i="15"/>
  <c r="D3" i="15"/>
  <c r="B3" i="15"/>
  <c r="AW2" i="15"/>
  <c r="AT2" i="15"/>
  <c r="J2" i="15"/>
  <c r="D2" i="15"/>
  <c r="B2" i="15"/>
  <c r="H5" i="13"/>
  <c r="H7" i="13"/>
  <c r="H3" i="13"/>
  <c r="H2" i="13"/>
  <c r="H5" i="11"/>
  <c r="AH17" i="12"/>
  <c r="AE17" i="12"/>
  <c r="AB17" i="12"/>
  <c r="Y17" i="12"/>
  <c r="V17" i="12"/>
  <c r="S17" i="12"/>
  <c r="P17" i="12"/>
  <c r="M17" i="12"/>
  <c r="G17" i="12"/>
  <c r="AT14" i="12"/>
  <c r="AT18" i="12"/>
  <c r="AQ14" i="12"/>
  <c r="AQ18" i="12"/>
  <c r="AN14" i="12"/>
  <c r="AN18" i="12"/>
  <c r="AK14" i="12"/>
  <c r="AK18" i="12"/>
  <c r="J14" i="12"/>
  <c r="J18" i="12"/>
  <c r="D14" i="12"/>
  <c r="D18" i="12"/>
  <c r="AT6" i="12"/>
  <c r="AQ6" i="12"/>
  <c r="AN6" i="12"/>
  <c r="AK6" i="12"/>
  <c r="AH6" i="12"/>
  <c r="AE6" i="12"/>
  <c r="AB6" i="12"/>
  <c r="Y6" i="12"/>
  <c r="V6" i="12"/>
  <c r="S6" i="12"/>
  <c r="P6" i="12"/>
  <c r="M6" i="12"/>
  <c r="J6" i="12"/>
  <c r="G6" i="12"/>
  <c r="D6" i="12"/>
  <c r="B6" i="12"/>
  <c r="B5" i="12"/>
  <c r="AT4" i="12"/>
  <c r="AQ4" i="12"/>
  <c r="B4" i="12"/>
  <c r="AT3" i="12"/>
  <c r="AQ3" i="12"/>
  <c r="AN3" i="12"/>
  <c r="AK3" i="12"/>
  <c r="AE3" i="12"/>
  <c r="AB3" i="12"/>
  <c r="Y3" i="12"/>
  <c r="V3" i="12"/>
  <c r="S3" i="12"/>
  <c r="P3" i="12"/>
  <c r="M3" i="12"/>
  <c r="J3" i="12"/>
  <c r="G3" i="12"/>
  <c r="D3" i="12"/>
  <c r="B3" i="12"/>
  <c r="AT2" i="12"/>
  <c r="AQ2" i="12"/>
  <c r="J2" i="12"/>
  <c r="D2" i="12"/>
  <c r="B2" i="12"/>
  <c r="AT14" i="6"/>
  <c r="AT18" i="6"/>
  <c r="AT6" i="6"/>
  <c r="AT4" i="6"/>
  <c r="AT3" i="6"/>
  <c r="AT2" i="6"/>
  <c r="G7" i="11"/>
  <c r="H6" i="11"/>
  <c r="H3" i="11"/>
  <c r="H4" i="11"/>
  <c r="H2" i="11"/>
  <c r="F5" i="10"/>
  <c r="F6" i="10"/>
  <c r="F4" i="10"/>
  <c r="F2" i="10"/>
  <c r="E8" i="10"/>
  <c r="I5" i="9"/>
  <c r="I3" i="9"/>
  <c r="I2" i="9"/>
  <c r="E8" i="7"/>
  <c r="AQ6" i="6"/>
  <c r="AN6" i="6"/>
  <c r="AK6" i="6"/>
  <c r="H4" i="9"/>
  <c r="AH6" i="6"/>
  <c r="H6" i="8"/>
  <c r="AE6" i="6"/>
  <c r="H4" i="8"/>
  <c r="AB6" i="6"/>
  <c r="H9" i="8"/>
  <c r="Y6" i="6"/>
  <c r="H8" i="8"/>
  <c r="V6" i="6"/>
  <c r="S6" i="6"/>
  <c r="P6" i="6"/>
  <c r="H5" i="8"/>
  <c r="M6" i="6"/>
  <c r="H3" i="8"/>
  <c r="J6" i="6"/>
  <c r="G6" i="6"/>
  <c r="H2" i="8"/>
  <c r="D6" i="6"/>
  <c r="B6" i="6"/>
  <c r="B5" i="6"/>
  <c r="AQ4" i="6"/>
  <c r="B4" i="6"/>
  <c r="AQ3" i="6"/>
  <c r="AN3" i="6"/>
  <c r="AK3" i="6"/>
  <c r="E4" i="9"/>
  <c r="AH3" i="6"/>
  <c r="E6" i="8"/>
  <c r="AE3" i="6"/>
  <c r="E4" i="8"/>
  <c r="AB3" i="6"/>
  <c r="E9" i="8"/>
  <c r="Y3" i="6"/>
  <c r="E8" i="8"/>
  <c r="V3" i="6"/>
  <c r="E7" i="8"/>
  <c r="S3" i="6"/>
  <c r="P3" i="6"/>
  <c r="E5" i="8"/>
  <c r="M3" i="6"/>
  <c r="E3" i="8"/>
  <c r="J3" i="6"/>
  <c r="G3" i="6"/>
  <c r="E2" i="8"/>
  <c r="D3" i="6"/>
  <c r="B3" i="6"/>
  <c r="AQ2" i="6"/>
  <c r="J2" i="6"/>
  <c r="D2" i="6"/>
  <c r="B2" i="6"/>
  <c r="AH17" i="6"/>
  <c r="AE17" i="6"/>
  <c r="AB17" i="6"/>
  <c r="Y17" i="6"/>
  <c r="V17" i="6"/>
  <c r="S17" i="6"/>
  <c r="P17" i="6"/>
  <c r="M17" i="6"/>
  <c r="G17" i="6"/>
  <c r="AQ14" i="6"/>
  <c r="AQ18" i="6"/>
  <c r="AN14" i="6"/>
  <c r="AN18" i="6"/>
  <c r="AK14" i="6"/>
  <c r="AK18" i="6"/>
  <c r="J14" i="6"/>
  <c r="J18" i="6"/>
  <c r="D14" i="6"/>
  <c r="D18" i="6"/>
  <c r="B6" i="5"/>
  <c r="B25" i="5"/>
  <c r="AN5" i="15"/>
  <c r="AN8" i="15"/>
  <c r="B18" i="5"/>
  <c r="B8" i="1"/>
  <c r="AH2" i="15"/>
  <c r="P2" i="15"/>
  <c r="AB2" i="15"/>
  <c r="AQ2" i="15"/>
  <c r="Y2" i="15"/>
  <c r="M2" i="15"/>
  <c r="AK2" i="15"/>
  <c r="V2" i="15"/>
  <c r="AE2" i="15"/>
  <c r="S2" i="15"/>
  <c r="G2" i="15"/>
  <c r="AH4" i="15"/>
  <c r="AE4" i="15"/>
  <c r="AK4" i="15"/>
  <c r="AQ4" i="15"/>
  <c r="AK5" i="15"/>
  <c r="AW5" i="15"/>
  <c r="AW8" i="15"/>
  <c r="V5" i="15"/>
  <c r="J5" i="15"/>
  <c r="S5" i="15"/>
  <c r="AQ5" i="15"/>
  <c r="AN4" i="6"/>
  <c r="AE4" i="12"/>
  <c r="AN4" i="12"/>
  <c r="AH4" i="12"/>
  <c r="AK4" i="12"/>
  <c r="B26" i="5"/>
  <c r="AT5" i="15"/>
  <c r="AT8" i="15"/>
  <c r="S5" i="12"/>
  <c r="AN5" i="12"/>
  <c r="AK5" i="12"/>
  <c r="AT5" i="12"/>
  <c r="AT8" i="12"/>
  <c r="V5" i="12"/>
  <c r="J5" i="12"/>
  <c r="AT5" i="6"/>
  <c r="AT8" i="6"/>
  <c r="AN2" i="6"/>
  <c r="S2" i="12"/>
  <c r="AN2" i="12"/>
  <c r="AN8" i="12"/>
  <c r="AB2" i="12"/>
  <c r="P2" i="12"/>
  <c r="AK2" i="12"/>
  <c r="M2" i="12"/>
  <c r="V2" i="12"/>
  <c r="AE2" i="12"/>
  <c r="G2" i="12"/>
  <c r="Y2" i="12"/>
  <c r="B7" i="5"/>
  <c r="B8" i="5"/>
  <c r="B19" i="5"/>
  <c r="V4" i="15"/>
  <c r="AK4" i="6"/>
  <c r="F4" i="9"/>
  <c r="J5" i="6"/>
  <c r="V5" i="6"/>
  <c r="G7" i="8"/>
  <c r="AE4" i="6"/>
  <c r="F4" i="8"/>
  <c r="AN5" i="6"/>
  <c r="G2" i="6"/>
  <c r="D2" i="8"/>
  <c r="M2" i="6"/>
  <c r="D3" i="8"/>
  <c r="S2" i="6"/>
  <c r="Y2" i="6"/>
  <c r="D8" i="8"/>
  <c r="AE2" i="6"/>
  <c r="D4" i="8"/>
  <c r="AK2" i="6"/>
  <c r="P2" i="6"/>
  <c r="D5" i="8"/>
  <c r="V2" i="6"/>
  <c r="D7" i="8"/>
  <c r="AB2" i="6"/>
  <c r="D9" i="8"/>
  <c r="AH2" i="6"/>
  <c r="D6" i="8"/>
  <c r="AH4" i="6"/>
  <c r="S5" i="6"/>
  <c r="AK5" i="6"/>
  <c r="G4" i="9"/>
  <c r="AH31" i="4"/>
  <c r="AE31" i="4"/>
  <c r="AB31" i="4"/>
  <c r="Y31" i="4"/>
  <c r="V31" i="4"/>
  <c r="S31" i="4"/>
  <c r="P31" i="4"/>
  <c r="M31" i="4"/>
  <c r="G31" i="4"/>
  <c r="AQ28" i="4"/>
  <c r="AQ32" i="4"/>
  <c r="AN27" i="4"/>
  <c r="AN28" i="4"/>
  <c r="AN32" i="4"/>
  <c r="AK27" i="4"/>
  <c r="AK28" i="4"/>
  <c r="AK32" i="4"/>
  <c r="S27" i="4"/>
  <c r="J27" i="4"/>
  <c r="J28" i="4"/>
  <c r="J32" i="4"/>
  <c r="D27" i="4"/>
  <c r="D28" i="4"/>
  <c r="D32" i="4"/>
  <c r="AH24" i="4"/>
  <c r="AE24" i="4"/>
  <c r="AB24" i="4"/>
  <c r="Y24" i="4"/>
  <c r="V24" i="4"/>
  <c r="S24" i="4"/>
  <c r="S25" i="4"/>
  <c r="P24" i="4"/>
  <c r="M24" i="4"/>
  <c r="G24" i="4"/>
  <c r="AQ21" i="4"/>
  <c r="AQ25" i="4"/>
  <c r="AN21" i="4"/>
  <c r="AN25" i="4"/>
  <c r="AK21" i="4"/>
  <c r="AK25" i="4"/>
  <c r="J21" i="4"/>
  <c r="J25" i="4"/>
  <c r="D21" i="4"/>
  <c r="D25" i="4"/>
  <c r="AH17" i="4"/>
  <c r="AE17" i="4"/>
  <c r="AB17" i="4"/>
  <c r="Y17" i="4"/>
  <c r="V17" i="4"/>
  <c r="S17" i="4"/>
  <c r="P17" i="4"/>
  <c r="M17" i="4"/>
  <c r="G17" i="4"/>
  <c r="AQ14" i="4"/>
  <c r="AQ18" i="4"/>
  <c r="AN14" i="4"/>
  <c r="AN18" i="4"/>
  <c r="AK14" i="4"/>
  <c r="AK18" i="4"/>
  <c r="J14" i="4"/>
  <c r="J18" i="4"/>
  <c r="D14" i="4"/>
  <c r="D18" i="4"/>
  <c r="AQ6" i="4"/>
  <c r="AN6" i="4"/>
  <c r="AK6" i="4"/>
  <c r="AH6" i="4"/>
  <c r="AE6" i="4"/>
  <c r="AB6" i="4"/>
  <c r="Y6" i="4"/>
  <c r="V6" i="4"/>
  <c r="S6" i="4"/>
  <c r="P6" i="4"/>
  <c r="M6" i="4"/>
  <c r="J6" i="4"/>
  <c r="G6" i="4"/>
  <c r="D6" i="4"/>
  <c r="B6" i="4"/>
  <c r="AQ5" i="4"/>
  <c r="B5" i="4"/>
  <c r="AQ4" i="4"/>
  <c r="B4" i="4"/>
  <c r="AQ3" i="4"/>
  <c r="AN3" i="4"/>
  <c r="AK3" i="4"/>
  <c r="AH3" i="4"/>
  <c r="AE3" i="4"/>
  <c r="AB3" i="4"/>
  <c r="Y3" i="4"/>
  <c r="V3" i="4"/>
  <c r="S3" i="4"/>
  <c r="P3" i="4"/>
  <c r="M3" i="4"/>
  <c r="J3" i="4"/>
  <c r="G3" i="4"/>
  <c r="D3" i="4"/>
  <c r="B3" i="4"/>
  <c r="AQ2" i="4"/>
  <c r="J2" i="4"/>
  <c r="D2" i="4"/>
  <c r="B2" i="4"/>
  <c r="AK8" i="12"/>
  <c r="AH5" i="15"/>
  <c r="AQ8" i="15"/>
  <c r="V8" i="15"/>
  <c r="AK8" i="15"/>
  <c r="AH8" i="15"/>
  <c r="B20" i="5"/>
  <c r="V4" i="12"/>
  <c r="V8" i="12"/>
  <c r="D4" i="9"/>
  <c r="I4" i="9"/>
  <c r="AK8" i="6"/>
  <c r="AN8" i="6"/>
  <c r="B27" i="5"/>
  <c r="AQ5" i="12"/>
  <c r="AQ8" i="12"/>
  <c r="AQ5" i="6"/>
  <c r="AQ8" i="6"/>
  <c r="F6" i="8"/>
  <c r="J4" i="6"/>
  <c r="V4" i="6"/>
  <c r="F7" i="8"/>
  <c r="I7" i="8"/>
  <c r="Y4" i="6"/>
  <c r="F8" i="8"/>
  <c r="S4" i="6"/>
  <c r="S8" i="6"/>
  <c r="S32" i="4"/>
  <c r="AN27" i="2"/>
  <c r="AN28" i="2"/>
  <c r="AN32" i="2"/>
  <c r="AK27" i="2"/>
  <c r="AK28" i="2"/>
  <c r="AK32" i="2"/>
  <c r="S27" i="2"/>
  <c r="J27" i="2"/>
  <c r="J28" i="2"/>
  <c r="J32" i="2"/>
  <c r="D27" i="2"/>
  <c r="D28" i="2"/>
  <c r="D32" i="2"/>
  <c r="AH31" i="2"/>
  <c r="AE31" i="2"/>
  <c r="AB31" i="2"/>
  <c r="Y31" i="2"/>
  <c r="V31" i="2"/>
  <c r="S31" i="2"/>
  <c r="P31" i="2"/>
  <c r="M31" i="2"/>
  <c r="G31" i="2"/>
  <c r="AQ28" i="2"/>
  <c r="AQ32" i="2"/>
  <c r="AQ14" i="2"/>
  <c r="AQ21" i="2"/>
  <c r="AQ25" i="2"/>
  <c r="AN21" i="2"/>
  <c r="AN25" i="2"/>
  <c r="AK21" i="2"/>
  <c r="AK25" i="2"/>
  <c r="AQ18" i="2"/>
  <c r="AN14" i="2"/>
  <c r="AN18" i="2"/>
  <c r="AK14" i="2"/>
  <c r="AK18" i="2"/>
  <c r="AQ3" i="2"/>
  <c r="AQ2" i="2"/>
  <c r="AN3" i="2"/>
  <c r="AK3" i="2"/>
  <c r="AQ6" i="2"/>
  <c r="AN6" i="2"/>
  <c r="AQ4" i="2"/>
  <c r="AN4" i="2"/>
  <c r="AK6" i="2"/>
  <c r="AK4" i="2"/>
  <c r="J21" i="2"/>
  <c r="J25" i="2"/>
  <c r="J14" i="2"/>
  <c r="J18" i="2"/>
  <c r="AH24" i="2"/>
  <c r="AE24" i="2"/>
  <c r="AB24" i="2"/>
  <c r="Y24" i="2"/>
  <c r="V24" i="2"/>
  <c r="S24" i="2"/>
  <c r="S25" i="2"/>
  <c r="P24" i="2"/>
  <c r="M24" i="2"/>
  <c r="G24" i="2"/>
  <c r="D21" i="2"/>
  <c r="D25" i="2"/>
  <c r="D14" i="2"/>
  <c r="D18" i="2"/>
  <c r="M4" i="6"/>
  <c r="Y4" i="15"/>
  <c r="J4" i="15"/>
  <c r="S4" i="15"/>
  <c r="S8" i="15"/>
  <c r="G4" i="15"/>
  <c r="M4" i="15"/>
  <c r="AB4" i="15"/>
  <c r="P4" i="15"/>
  <c r="D4" i="15"/>
  <c r="AH10" i="15"/>
  <c r="AH13" i="15"/>
  <c r="AH18" i="15"/>
  <c r="Y5" i="15"/>
  <c r="M5" i="15"/>
  <c r="AB5" i="15"/>
  <c r="P5" i="15"/>
  <c r="D5" i="15"/>
  <c r="V10" i="15"/>
  <c r="V13" i="15"/>
  <c r="V18" i="15"/>
  <c r="F3" i="8"/>
  <c r="P4" i="6"/>
  <c r="V13" i="12"/>
  <c r="V18" i="12"/>
  <c r="V10" i="12"/>
  <c r="B28" i="5"/>
  <c r="AB5" i="12"/>
  <c r="P5" i="12"/>
  <c r="D5" i="12"/>
  <c r="Y5" i="12"/>
  <c r="M5" i="12"/>
  <c r="AH5" i="12"/>
  <c r="AH8" i="12"/>
  <c r="D5" i="6"/>
  <c r="Y5" i="6"/>
  <c r="G8" i="8"/>
  <c r="I8" i="8"/>
  <c r="AB5" i="6"/>
  <c r="G9" i="8"/>
  <c r="M5" i="6"/>
  <c r="G3" i="8"/>
  <c r="P5" i="6"/>
  <c r="G5" i="8"/>
  <c r="AH5" i="6"/>
  <c r="AB4" i="6"/>
  <c r="S4" i="12"/>
  <c r="S8" i="12"/>
  <c r="G4" i="12"/>
  <c r="AB4" i="12"/>
  <c r="P4" i="12"/>
  <c r="P8" i="12"/>
  <c r="D4" i="12"/>
  <c r="J4" i="12"/>
  <c r="Y4" i="12"/>
  <c r="Y8" i="12"/>
  <c r="M4" i="12"/>
  <c r="M8" i="12"/>
  <c r="D4" i="6"/>
  <c r="G4" i="6"/>
  <c r="V8" i="6"/>
  <c r="F5" i="8"/>
  <c r="Y8" i="6"/>
  <c r="V10" i="6"/>
  <c r="V13" i="6"/>
  <c r="V18" i="6"/>
  <c r="S13" i="6"/>
  <c r="S18" i="6"/>
  <c r="S10" i="6"/>
  <c r="S32" i="2"/>
  <c r="AH3" i="2"/>
  <c r="AH17" i="2"/>
  <c r="AH6" i="2"/>
  <c r="AH4" i="2"/>
  <c r="I50" i="3"/>
  <c r="I40" i="3"/>
  <c r="J39" i="3"/>
  <c r="F39" i="3"/>
  <c r="J38" i="3"/>
  <c r="F38" i="3"/>
  <c r="J37" i="3"/>
  <c r="F37" i="3"/>
  <c r="J36" i="3"/>
  <c r="F36" i="3"/>
  <c r="J35" i="3"/>
  <c r="F35" i="3"/>
  <c r="J34" i="3"/>
  <c r="J30" i="3"/>
  <c r="K30" i="3"/>
  <c r="F34" i="3"/>
  <c r="F27" i="3"/>
  <c r="H27" i="3"/>
  <c r="F26" i="3"/>
  <c r="H26" i="3"/>
  <c r="F25" i="3"/>
  <c r="H25" i="3"/>
  <c r="F24" i="3"/>
  <c r="H24" i="3"/>
  <c r="F23" i="3"/>
  <c r="H23" i="3"/>
  <c r="J22" i="3"/>
  <c r="L22" i="3"/>
  <c r="F22" i="3"/>
  <c r="H22" i="3"/>
  <c r="F21" i="3"/>
  <c r="H21" i="3"/>
  <c r="F20" i="3"/>
  <c r="H20" i="3"/>
  <c r="F19" i="3"/>
  <c r="H19" i="3"/>
  <c r="F18" i="3"/>
  <c r="H18" i="3"/>
  <c r="F17" i="3"/>
  <c r="H17" i="3"/>
  <c r="J17" i="3"/>
  <c r="K17" i="3"/>
  <c r="F16" i="3"/>
  <c r="H16" i="3"/>
  <c r="F15" i="3"/>
  <c r="H15" i="3"/>
  <c r="F14" i="3"/>
  <c r="H14" i="3"/>
  <c r="F13" i="3"/>
  <c r="H13" i="3"/>
  <c r="F12" i="3"/>
  <c r="H12" i="3"/>
  <c r="F11" i="3"/>
  <c r="H11" i="3"/>
  <c r="F10" i="3"/>
  <c r="H10" i="3"/>
  <c r="F9" i="3"/>
  <c r="H9" i="3"/>
  <c r="I9" i="3"/>
  <c r="I46" i="3"/>
  <c r="F8" i="3"/>
  <c r="H8" i="3"/>
  <c r="F7" i="3"/>
  <c r="H7" i="3"/>
  <c r="F6" i="3"/>
  <c r="H6" i="3"/>
  <c r="F5" i="3"/>
  <c r="H5" i="3"/>
  <c r="AE17" i="2"/>
  <c r="AB17" i="2"/>
  <c r="Y17" i="2"/>
  <c r="V17" i="2"/>
  <c r="S17" i="2"/>
  <c r="P17" i="2"/>
  <c r="M17" i="2"/>
  <c r="G17" i="2"/>
  <c r="AE6" i="2"/>
  <c r="AE3" i="2"/>
  <c r="AE2" i="2"/>
  <c r="AB6" i="2"/>
  <c r="AB3" i="2"/>
  <c r="Y6" i="2"/>
  <c r="Y3" i="2"/>
  <c r="V6" i="2"/>
  <c r="V3" i="2"/>
  <c r="S6" i="2"/>
  <c r="S3" i="2"/>
  <c r="P6" i="2"/>
  <c r="P3" i="2"/>
  <c r="M6" i="2"/>
  <c r="M3" i="2"/>
  <c r="J6" i="2"/>
  <c r="J3" i="2"/>
  <c r="J2" i="2"/>
  <c r="G6" i="2"/>
  <c r="G3" i="2"/>
  <c r="D6" i="2"/>
  <c r="D3" i="2"/>
  <c r="D2" i="2"/>
  <c r="B3" i="2"/>
  <c r="B27" i="1"/>
  <c r="B20" i="1"/>
  <c r="AE4" i="2"/>
  <c r="P2" i="2"/>
  <c r="B6" i="2"/>
  <c r="B5" i="2"/>
  <c r="B4" i="2"/>
  <c r="B2" i="2"/>
  <c r="M8" i="6"/>
  <c r="M13" i="6"/>
  <c r="M18" i="6"/>
  <c r="P8" i="15"/>
  <c r="P13" i="15"/>
  <c r="P18" i="15"/>
  <c r="S10" i="15"/>
  <c r="S13" i="15"/>
  <c r="S18" i="15"/>
  <c r="AB8" i="15"/>
  <c r="P8" i="6"/>
  <c r="P10" i="6"/>
  <c r="M8" i="15"/>
  <c r="Y8" i="15"/>
  <c r="AE5" i="15"/>
  <c r="AE8" i="15"/>
  <c r="G5" i="15"/>
  <c r="G8" i="15"/>
  <c r="M10" i="12"/>
  <c r="M13" i="12"/>
  <c r="M18" i="12"/>
  <c r="P10" i="12"/>
  <c r="P13" i="12"/>
  <c r="P18" i="12"/>
  <c r="F9" i="8"/>
  <c r="I9" i="8"/>
  <c r="AB8" i="6"/>
  <c r="P13" i="6"/>
  <c r="P18" i="6"/>
  <c r="Y13" i="12"/>
  <c r="Y18" i="12"/>
  <c r="Y10" i="12"/>
  <c r="AB8" i="12"/>
  <c r="G6" i="8"/>
  <c r="I6" i="8"/>
  <c r="AH8" i="6"/>
  <c r="AE5" i="6"/>
  <c r="AE5" i="12"/>
  <c r="AE8" i="12"/>
  <c r="G5" i="12"/>
  <c r="G8" i="12"/>
  <c r="G5" i="6"/>
  <c r="G2" i="8"/>
  <c r="F2" i="8"/>
  <c r="J33" i="3"/>
  <c r="I5" i="8"/>
  <c r="S10" i="12"/>
  <c r="S13" i="12"/>
  <c r="S18" i="12"/>
  <c r="AH13" i="12"/>
  <c r="AH18" i="12"/>
  <c r="AH10" i="12"/>
  <c r="I3" i="8"/>
  <c r="Y13" i="6"/>
  <c r="Y18" i="6"/>
  <c r="Y10" i="6"/>
  <c r="J50" i="3"/>
  <c r="I13" i="3"/>
  <c r="J13" i="3"/>
  <c r="L13" i="3"/>
  <c r="I21" i="3"/>
  <c r="J21" i="3"/>
  <c r="K21" i="3"/>
  <c r="AN5" i="4"/>
  <c r="J5" i="4"/>
  <c r="AK5" i="4"/>
  <c r="S5" i="4"/>
  <c r="AQ5" i="2"/>
  <c r="I17" i="3"/>
  <c r="J9" i="3"/>
  <c r="AK4" i="4"/>
  <c r="AE4" i="4"/>
  <c r="AN4" i="4"/>
  <c r="AH4" i="4"/>
  <c r="I15" i="3"/>
  <c r="J15" i="3"/>
  <c r="L15" i="3"/>
  <c r="I5" i="3"/>
  <c r="J5" i="3"/>
  <c r="K5" i="3"/>
  <c r="I11" i="3"/>
  <c r="J11" i="3"/>
  <c r="K11" i="3"/>
  <c r="I19" i="3"/>
  <c r="I45" i="3"/>
  <c r="J19" i="3"/>
  <c r="J24" i="3"/>
  <c r="K24" i="3"/>
  <c r="I24" i="3"/>
  <c r="V2" i="2"/>
  <c r="J6" i="3"/>
  <c r="I6" i="3"/>
  <c r="H3" i="3"/>
  <c r="I12" i="3"/>
  <c r="J12" i="3"/>
  <c r="K12" i="3"/>
  <c r="I7" i="3"/>
  <c r="J7" i="3"/>
  <c r="K7" i="3"/>
  <c r="I10" i="3"/>
  <c r="J10" i="3"/>
  <c r="J18" i="3"/>
  <c r="I18" i="3"/>
  <c r="J27" i="3"/>
  <c r="I27" i="3"/>
  <c r="I53" i="3"/>
  <c r="J8" i="3"/>
  <c r="I8" i="3"/>
  <c r="J16" i="3"/>
  <c r="I16" i="3"/>
  <c r="I51" i="3"/>
  <c r="I14" i="3"/>
  <c r="I47" i="3"/>
  <c r="J14" i="3"/>
  <c r="I25" i="3"/>
  <c r="J25" i="3"/>
  <c r="K25" i="3"/>
  <c r="J20" i="3"/>
  <c r="K20" i="3"/>
  <c r="I20" i="3"/>
  <c r="J23" i="3"/>
  <c r="K23" i="3"/>
  <c r="I23" i="3"/>
  <c r="I26" i="3"/>
  <c r="J26" i="3"/>
  <c r="L26" i="3"/>
  <c r="M2" i="2"/>
  <c r="S5" i="2"/>
  <c r="B9" i="1"/>
  <c r="B10" i="1"/>
  <c r="B21" i="1"/>
  <c r="V4" i="4"/>
  <c r="B28" i="1"/>
  <c r="P4" i="2"/>
  <c r="P10" i="15"/>
  <c r="M10" i="6"/>
  <c r="G13" i="15"/>
  <c r="G18" i="15"/>
  <c r="G10" i="15"/>
  <c r="Y10" i="15"/>
  <c r="Y13" i="15"/>
  <c r="Y18" i="15"/>
  <c r="M10" i="15"/>
  <c r="M13" i="15"/>
  <c r="M18" i="15"/>
  <c r="AE13" i="15"/>
  <c r="AE18" i="15"/>
  <c r="AE10" i="15"/>
  <c r="I2" i="8"/>
  <c r="AB13" i="15"/>
  <c r="AB18" i="15"/>
  <c r="AB10" i="15"/>
  <c r="G4" i="8"/>
  <c r="I4" i="8"/>
  <c r="AE8" i="6"/>
  <c r="I49" i="3"/>
  <c r="G13" i="12"/>
  <c r="G18" i="12"/>
  <c r="G10" i="12"/>
  <c r="AH13" i="6"/>
  <c r="AH18" i="6"/>
  <c r="AH10" i="6"/>
  <c r="G8" i="6"/>
  <c r="AE10" i="12"/>
  <c r="AE13" i="12"/>
  <c r="AE18" i="12"/>
  <c r="AB10" i="12"/>
  <c r="AB13" i="12"/>
  <c r="AB18" i="12"/>
  <c r="AB10" i="6"/>
  <c r="AB13" i="6"/>
  <c r="AB18" i="6"/>
  <c r="I44" i="3"/>
  <c r="V4" i="2"/>
  <c r="AB5" i="4"/>
  <c r="V5" i="4"/>
  <c r="M5" i="4"/>
  <c r="AN5" i="2"/>
  <c r="AK5" i="2"/>
  <c r="AH5" i="2"/>
  <c r="L9" i="3"/>
  <c r="J46" i="3"/>
  <c r="AN2" i="2"/>
  <c r="AK2" i="2"/>
  <c r="AH2" i="2"/>
  <c r="AH8" i="2"/>
  <c r="AH10" i="2"/>
  <c r="AK2" i="4"/>
  <c r="AE2" i="4"/>
  <c r="Y2" i="4"/>
  <c r="S2" i="4"/>
  <c r="M2" i="4"/>
  <c r="G2" i="4"/>
  <c r="AN2" i="4"/>
  <c r="AH2" i="4"/>
  <c r="AB2" i="4"/>
  <c r="V2" i="4"/>
  <c r="V8" i="4"/>
  <c r="P2" i="4"/>
  <c r="G2" i="2"/>
  <c r="I48" i="3"/>
  <c r="K19" i="3"/>
  <c r="J45" i="3"/>
  <c r="S2" i="2"/>
  <c r="V5" i="2"/>
  <c r="V8" i="2"/>
  <c r="J5" i="2"/>
  <c r="Y5" i="2"/>
  <c r="B29" i="1"/>
  <c r="G5" i="2"/>
  <c r="AE5" i="2"/>
  <c r="AE8" i="2"/>
  <c r="AB5" i="2"/>
  <c r="P5" i="2"/>
  <c r="P8" i="2"/>
  <c r="M5" i="2"/>
  <c r="J51" i="3"/>
  <c r="K16" i="3"/>
  <c r="J53" i="3"/>
  <c r="L27" i="3"/>
  <c r="J44" i="3"/>
  <c r="K6" i="3"/>
  <c r="J3" i="3"/>
  <c r="B22" i="1"/>
  <c r="I52" i="3"/>
  <c r="Y2" i="2"/>
  <c r="AB2" i="2"/>
  <c r="J47" i="3"/>
  <c r="L14" i="3"/>
  <c r="L8" i="3"/>
  <c r="J48" i="3"/>
  <c r="K18" i="3"/>
  <c r="J52" i="3"/>
  <c r="K10" i="3"/>
  <c r="J49" i="3"/>
  <c r="I3" i="3"/>
  <c r="D22" i="15"/>
  <c r="G13" i="6"/>
  <c r="G18" i="6"/>
  <c r="G10" i="6"/>
  <c r="D22" i="12"/>
  <c r="AE13" i="6"/>
  <c r="AE18" i="6"/>
  <c r="AE10" i="6"/>
  <c r="I55" i="3"/>
  <c r="AH13" i="2"/>
  <c r="AH18" i="2"/>
  <c r="Y4" i="4"/>
  <c r="S4" i="4"/>
  <c r="M4" i="4"/>
  <c r="M8" i="4"/>
  <c r="G4" i="4"/>
  <c r="AB4" i="4"/>
  <c r="AB8" i="4"/>
  <c r="P4" i="4"/>
  <c r="J4" i="4"/>
  <c r="D4" i="4"/>
  <c r="J4" i="2"/>
  <c r="P5" i="4"/>
  <c r="P8" i="4"/>
  <c r="D5" i="4"/>
  <c r="Y5" i="4"/>
  <c r="S8" i="4"/>
  <c r="S13" i="4"/>
  <c r="S18" i="4"/>
  <c r="AH20" i="2"/>
  <c r="AH27" i="2"/>
  <c r="AH32" i="2"/>
  <c r="V13" i="4"/>
  <c r="V18" i="4"/>
  <c r="V20" i="4"/>
  <c r="V10" i="4"/>
  <c r="V10" i="2"/>
  <c r="V20" i="2"/>
  <c r="V13" i="2"/>
  <c r="V18" i="2"/>
  <c r="P10" i="2"/>
  <c r="P20" i="2"/>
  <c r="P13" i="2"/>
  <c r="P18" i="2"/>
  <c r="AE10" i="2"/>
  <c r="AE13" i="2"/>
  <c r="AH25" i="2"/>
  <c r="K3" i="3"/>
  <c r="L3" i="3"/>
  <c r="AB4" i="2"/>
  <c r="AB8" i="2"/>
  <c r="M4" i="2"/>
  <c r="M8" i="2"/>
  <c r="Y4" i="2"/>
  <c r="Y8" i="2"/>
  <c r="Y20" i="2"/>
  <c r="S4" i="2"/>
  <c r="S8" i="2"/>
  <c r="G4" i="2"/>
  <c r="G8" i="2"/>
  <c r="D4" i="2"/>
  <c r="J55" i="3"/>
  <c r="D5" i="2"/>
  <c r="B30" i="1"/>
  <c r="S10" i="4"/>
  <c r="D22" i="6"/>
  <c r="P10" i="4"/>
  <c r="P13" i="4"/>
  <c r="P18" i="4"/>
  <c r="P20" i="4"/>
  <c r="M20" i="4"/>
  <c r="M25" i="4"/>
  <c r="M10" i="4"/>
  <c r="M13" i="4"/>
  <c r="M18" i="4"/>
  <c r="Y8" i="4"/>
  <c r="Y13" i="4"/>
  <c r="Y18" i="4"/>
  <c r="Y20" i="4"/>
  <c r="Y27" i="4"/>
  <c r="Y32" i="4"/>
  <c r="Y10" i="4"/>
  <c r="AB13" i="4"/>
  <c r="AB10" i="4"/>
  <c r="AH5" i="4"/>
  <c r="AH8" i="4"/>
  <c r="AE5" i="4"/>
  <c r="AE8" i="4"/>
  <c r="G5" i="4"/>
  <c r="G8" i="4"/>
  <c r="M27" i="4"/>
  <c r="M32" i="4"/>
  <c r="AB18" i="4"/>
  <c r="AB20" i="4"/>
  <c r="V25" i="4"/>
  <c r="V27" i="4"/>
  <c r="V32" i="4"/>
  <c r="Y25" i="4"/>
  <c r="P27" i="4"/>
  <c r="P32" i="4"/>
  <c r="P25" i="4"/>
  <c r="S10" i="2"/>
  <c r="S13" i="2"/>
  <c r="S18" i="2"/>
  <c r="M10" i="2"/>
  <c r="M13" i="2"/>
  <c r="M18" i="2"/>
  <c r="M20" i="2"/>
  <c r="AE20" i="2"/>
  <c r="AE18" i="2"/>
  <c r="V27" i="2"/>
  <c r="V32" i="2"/>
  <c r="V25" i="2"/>
  <c r="G10" i="2"/>
  <c r="G13" i="2"/>
  <c r="G18" i="2"/>
  <c r="G20" i="2"/>
  <c r="Y27" i="2"/>
  <c r="Y32" i="2"/>
  <c r="Y25" i="2"/>
  <c r="P27" i="2"/>
  <c r="P32" i="2"/>
  <c r="P25" i="2"/>
  <c r="AB10" i="2"/>
  <c r="AB13" i="2"/>
  <c r="Y10" i="2"/>
  <c r="Y13" i="2"/>
  <c r="Y18" i="2"/>
  <c r="G10" i="4"/>
  <c r="G20" i="4"/>
  <c r="G13" i="4"/>
  <c r="G18" i="4"/>
  <c r="AH20" i="4"/>
  <c r="AH13" i="4"/>
  <c r="AH18" i="4"/>
  <c r="AH10" i="4"/>
  <c r="AE10" i="4"/>
  <c r="AE13" i="4"/>
  <c r="AB27" i="4"/>
  <c r="AB32" i="4"/>
  <c r="AB25" i="4"/>
  <c r="AB18" i="2"/>
  <c r="D36" i="2"/>
  <c r="AB20" i="2"/>
  <c r="G27" i="2"/>
  <c r="G32" i="2"/>
  <c r="G25" i="2"/>
  <c r="AE27" i="2"/>
  <c r="AE32" i="2"/>
  <c r="AE25" i="2"/>
  <c r="M27" i="2"/>
  <c r="M32" i="2"/>
  <c r="M25" i="2"/>
  <c r="AE20" i="4"/>
  <c r="AE18" i="4"/>
  <c r="D36" i="4"/>
  <c r="AH25" i="4"/>
  <c r="AH27" i="4"/>
  <c r="AH32" i="4"/>
  <c r="G27" i="4"/>
  <c r="G32" i="4"/>
  <c r="G25" i="4"/>
  <c r="AB27" i="2"/>
  <c r="AB32" i="2"/>
  <c r="D38" i="2"/>
  <c r="AB25" i="2"/>
  <c r="D37" i="2"/>
  <c r="F37" i="2"/>
  <c r="G37" i="2"/>
  <c r="AE27" i="4"/>
  <c r="AE32" i="4"/>
  <c r="D38" i="4"/>
  <c r="AE25" i="4"/>
  <c r="D37" i="4"/>
  <c r="F38" i="2"/>
  <c r="G38" i="2"/>
  <c r="F37" i="4"/>
  <c r="G37" i="4"/>
  <c r="F38" i="4"/>
  <c r="I38" i="2"/>
  <c r="J38" i="2"/>
  <c r="G38" i="4"/>
  <c r="I38" i="4"/>
  <c r="J38" i="4"/>
  <c r="K18" i="17"/>
  <c r="W18" i="17"/>
  <c r="H18" i="17"/>
  <c r="T18" i="17"/>
  <c r="Q18" i="17"/>
  <c r="AC18" i="17"/>
  <c r="Z18" i="17"/>
  <c r="N18" i="17"/>
  <c r="H9" i="21" l="1"/>
  <c r="H28" i="21" s="1"/>
  <c r="G28" i="21" s="1"/>
  <c r="AU4" i="19"/>
  <c r="AU44" i="19" s="1"/>
  <c r="BD20" i="19"/>
  <c r="O4" i="19"/>
  <c r="O44" i="19" s="1"/>
  <c r="AM4" i="19"/>
  <c r="AM44" i="19" s="1"/>
  <c r="K8" i="17"/>
  <c r="K13" i="17" s="1"/>
  <c r="K19" i="17" s="1"/>
  <c r="W4" i="19"/>
  <c r="W44" i="19" s="1"/>
  <c r="AE4" i="19"/>
  <c r="AE44" i="19" s="1"/>
  <c r="AI4" i="19"/>
  <c r="AI44" i="19" s="1"/>
  <c r="AQ4" i="19"/>
  <c r="AQ44" i="19" s="1"/>
  <c r="AW20" i="19"/>
  <c r="BC4" i="19"/>
  <c r="AR8" i="19"/>
  <c r="Z8" i="17"/>
  <c r="Z10" i="17" s="1"/>
  <c r="AC27" i="19"/>
  <c r="AC4" i="19" s="1"/>
  <c r="AC46" i="19" s="1"/>
  <c r="AO8" i="17"/>
  <c r="N8" i="17"/>
  <c r="N10" i="17" s="1"/>
  <c r="H8" i="17"/>
  <c r="H10" i="17" s="1"/>
  <c r="AA4" i="19"/>
  <c r="AA44" i="19" s="1"/>
  <c r="AY4" i="19"/>
  <c r="AY44" i="19" s="1"/>
  <c r="BJ8" i="19"/>
  <c r="AI8" i="17"/>
  <c r="P8" i="19"/>
  <c r="AF8" i="19"/>
  <c r="AV20" i="19"/>
  <c r="N13" i="17"/>
  <c r="N19" i="17" s="1"/>
  <c r="AL8" i="17"/>
  <c r="W8" i="17"/>
  <c r="AC8" i="17"/>
  <c r="AC13" i="17" s="1"/>
  <c r="AC19" i="17" s="1"/>
  <c r="F4" i="16"/>
  <c r="D4" i="16"/>
  <c r="G4" i="16"/>
  <c r="E4" i="16"/>
  <c r="T4" i="16"/>
  <c r="C28" i="19"/>
  <c r="AB27" i="19"/>
  <c r="AF8" i="17"/>
  <c r="E8" i="17"/>
  <c r="S4" i="19"/>
  <c r="S44" i="19" s="1"/>
  <c r="BS28" i="19"/>
  <c r="BS4" i="19" s="1"/>
  <c r="BS46" i="19" s="1"/>
  <c r="BW28" i="19"/>
  <c r="BW4" i="19" s="1"/>
  <c r="BW46" i="19" s="1"/>
  <c r="D29" i="19"/>
  <c r="AO28" i="19"/>
  <c r="AO4" i="19" s="1"/>
  <c r="AO46" i="19" s="1"/>
  <c r="CA28" i="19"/>
  <c r="CA4" i="19" s="1"/>
  <c r="CA46" i="19" s="1"/>
  <c r="AW28" i="19"/>
  <c r="AR21" i="19"/>
  <c r="C22" i="19"/>
  <c r="BA28" i="19"/>
  <c r="BA4" i="19" s="1"/>
  <c r="BA46" i="19" s="1"/>
  <c r="Q8" i="17"/>
  <c r="T8" i="17"/>
  <c r="AN21" i="19"/>
  <c r="BK28" i="19"/>
  <c r="BK4" i="19" s="1"/>
  <c r="BK46" i="19" s="1"/>
  <c r="BO28" i="19"/>
  <c r="BO4" i="19" s="1"/>
  <c r="BO46" i="19" s="1"/>
  <c r="BN8" i="19"/>
  <c r="H15" i="21" l="1"/>
  <c r="G15" i="21" s="1"/>
  <c r="H13" i="21"/>
  <c r="G13" i="21" s="1"/>
  <c r="H16" i="21"/>
  <c r="G16" i="21" s="1"/>
  <c r="H21" i="21"/>
  <c r="G21" i="21" s="1"/>
  <c r="H29" i="21"/>
  <c r="G29" i="21" s="1"/>
  <c r="H23" i="21"/>
  <c r="G23" i="21" s="1"/>
  <c r="H25" i="21"/>
  <c r="G25" i="21" s="1"/>
  <c r="H12" i="21"/>
  <c r="G12" i="21" s="1"/>
  <c r="H19" i="21"/>
  <c r="G19" i="21" s="1"/>
  <c r="H14" i="21"/>
  <c r="G14" i="21" s="1"/>
  <c r="H20" i="21"/>
  <c r="G20" i="21" s="1"/>
  <c r="H26" i="21"/>
  <c r="G26" i="21" s="1"/>
  <c r="H27" i="21"/>
  <c r="G27" i="21" s="1"/>
  <c r="H24" i="21"/>
  <c r="G24" i="21" s="1"/>
  <c r="H17" i="21"/>
  <c r="G17" i="21" s="1"/>
  <c r="H22" i="21"/>
  <c r="G22" i="21" s="1"/>
  <c r="H18" i="21"/>
  <c r="G18" i="21" s="1"/>
  <c r="AW4" i="19"/>
  <c r="AW46" i="19" s="1"/>
  <c r="H13" i="17"/>
  <c r="H19" i="17" s="1"/>
  <c r="K10" i="17"/>
  <c r="Z13" i="17"/>
  <c r="Z19" i="17" s="1"/>
  <c r="D44" i="19"/>
  <c r="C44" i="19" s="1"/>
  <c r="AC10" i="17"/>
  <c r="W13" i="17"/>
  <c r="W19" i="17" s="1"/>
  <c r="W10" i="17"/>
  <c r="T13" i="17"/>
  <c r="T19" i="17" s="1"/>
  <c r="T10" i="17"/>
  <c r="E13" i="17"/>
  <c r="E19" i="17" s="1"/>
  <c r="E10" i="17"/>
  <c r="Q10" i="17"/>
  <c r="Q13" i="17"/>
  <c r="Q19" i="17" s="1"/>
  <c r="H4" i="16"/>
  <c r="AZ28" i="19"/>
  <c r="AZ4" i="19" s="1"/>
  <c r="AZ45" i="19" s="1"/>
  <c r="BV28" i="19"/>
  <c r="BV4" i="19" s="1"/>
  <c r="BV45" i="19" s="1"/>
  <c r="C29" i="19"/>
  <c r="AV28" i="19"/>
  <c r="AV4" i="19" s="1"/>
  <c r="AV45" i="19" s="1"/>
  <c r="AN28" i="19"/>
  <c r="AN4" i="19" s="1"/>
  <c r="AN45" i="19" s="1"/>
  <c r="Y29" i="19"/>
  <c r="Y4" i="19" s="1"/>
  <c r="Y46" i="19" s="1"/>
  <c r="U29" i="19"/>
  <c r="U4" i="19" s="1"/>
  <c r="U46" i="19" s="1"/>
  <c r="D30" i="19"/>
  <c r="M5" i="16"/>
  <c r="P5" i="16" s="1"/>
  <c r="R5" i="16" s="1"/>
  <c r="S5" i="16" s="1"/>
  <c r="AG29" i="19"/>
  <c r="AG4" i="19" s="1"/>
  <c r="AG46" i="19" s="1"/>
  <c r="BD29" i="19"/>
  <c r="BD4" i="19" s="1"/>
  <c r="AS29" i="19"/>
  <c r="AS4" i="19" s="1"/>
  <c r="AS46" i="19" s="1"/>
  <c r="AK29" i="19"/>
  <c r="AK4" i="19" s="1"/>
  <c r="AK46" i="19" s="1"/>
  <c r="AJ22" i="19"/>
  <c r="BR22" i="19"/>
  <c r="AF22" i="19"/>
  <c r="T22" i="19"/>
  <c r="P22" i="19"/>
  <c r="X22" i="19"/>
  <c r="AB22" i="19"/>
  <c r="AB4" i="19" s="1"/>
  <c r="AB45" i="19" s="1"/>
  <c r="BN22" i="19"/>
  <c r="G31" i="21" l="1"/>
  <c r="I31" i="21" s="1"/>
  <c r="D5" i="16"/>
  <c r="G5" i="16"/>
  <c r="F5" i="16"/>
  <c r="T5" i="16"/>
  <c r="E5" i="16"/>
  <c r="M3" i="16"/>
  <c r="P3" i="16" s="1"/>
  <c r="R3" i="16" s="1"/>
  <c r="S3" i="16" s="1"/>
  <c r="Q30" i="19"/>
  <c r="Q4" i="19" s="1"/>
  <c r="Q46" i="19" s="1"/>
  <c r="D46" i="19" s="1"/>
  <c r="C46" i="19" s="1"/>
  <c r="C23" i="17"/>
  <c r="BR28" i="19"/>
  <c r="BR4" i="19" s="1"/>
  <c r="BR45" i="19" s="1"/>
  <c r="BN28" i="19"/>
  <c r="BN4" i="19" s="1"/>
  <c r="BN45" i="19" s="1"/>
  <c r="BJ28" i="19"/>
  <c r="BJ4" i="19" s="1"/>
  <c r="BJ45" i="19" s="1"/>
  <c r="C30" i="19"/>
  <c r="P30" i="19" s="1"/>
  <c r="P4" i="19" s="1"/>
  <c r="P45" i="19" s="1"/>
  <c r="AR29" i="19"/>
  <c r="AR4" i="19" s="1"/>
  <c r="AR45" i="19" s="1"/>
  <c r="AF29" i="19"/>
  <c r="AF4" i="19" s="1"/>
  <c r="AF45" i="19" s="1"/>
  <c r="X29" i="19"/>
  <c r="X4" i="19" s="1"/>
  <c r="X45" i="19" s="1"/>
  <c r="AJ29" i="19"/>
  <c r="AJ4" i="19" s="1"/>
  <c r="AJ45" i="19" s="1"/>
  <c r="T29" i="19"/>
  <c r="T4" i="19" s="1"/>
  <c r="T45" i="19" s="1"/>
  <c r="C45" i="21" l="1"/>
  <c r="G15" i="19"/>
  <c r="J15" i="19" s="1"/>
  <c r="E3" i="16"/>
  <c r="F3" i="16"/>
  <c r="T3" i="16"/>
  <c r="G3" i="16"/>
  <c r="D3" i="16"/>
  <c r="H5" i="16"/>
  <c r="D45" i="19"/>
  <c r="C45" i="19" s="1"/>
  <c r="C43" i="21"/>
  <c r="K15" i="19" l="1"/>
  <c r="H3" i="16"/>
  <c r="H6" i="16" s="1"/>
  <c r="G18" i="19" l="1"/>
  <c r="J18" i="19"/>
  <c r="K18" i="19"/>
  <c r="G21" i="19"/>
  <c r="J21" i="19" l="1"/>
  <c r="K2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Philipp</author>
  </authors>
  <commentList>
    <comment ref="G10" authorId="0" shapeId="0" xr:uid="{D9964B6B-CE5B-428F-89F8-40D287988DFD}">
      <text>
        <r>
          <rPr>
            <b/>
            <sz val="9"/>
            <color indexed="81"/>
            <rFont val="Segoe UI"/>
            <family val="2"/>
          </rPr>
          <t>Andreas Philipp:</t>
        </r>
        <r>
          <rPr>
            <sz val="9"/>
            <color indexed="81"/>
            <rFont val="Segoe UI"/>
            <family val="2"/>
          </rPr>
          <t xml:space="preserve">
Berechnung Kurse ab März 2018 
Kurse: 
bei Mitglieder volle Kursgebühr,  
bei Nichtmitglieder halbe Kursgebühr als ÜL-Abrechnung </t>
        </r>
      </text>
    </comment>
    <comment ref="G11" authorId="0" shapeId="0" xr:uid="{D8A09F54-A4D6-4087-98F4-06662CEBFF7D}">
      <text>
        <r>
          <rPr>
            <b/>
            <sz val="9"/>
            <color indexed="81"/>
            <rFont val="Segoe UI"/>
            <family val="2"/>
          </rPr>
          <t>Andreas Philipp:</t>
        </r>
        <r>
          <rPr>
            <sz val="9"/>
            <color indexed="81"/>
            <rFont val="Segoe UI"/>
            <family val="2"/>
          </rPr>
          <t xml:space="preserve">
Berechnung Kurse ab März 2018 
Kurse: 
bei Mitglieder volle Kursgebühr,  
bei Nichtmitglieder halbe Kursgebühr als ÜL-Abrechnung </t>
        </r>
      </text>
    </comment>
  </commentList>
</comments>
</file>

<file path=xl/sharedStrings.xml><?xml version="1.0" encoding="utf-8"?>
<sst xmlns="http://schemas.openxmlformats.org/spreadsheetml/2006/main" count="1179" uniqueCount="291">
  <si>
    <t>Ingrid Kanzler</t>
  </si>
  <si>
    <t>Renate Krafft</t>
  </si>
  <si>
    <t>Simone Ranzau</t>
  </si>
  <si>
    <t>Klaus Schreiber</t>
  </si>
  <si>
    <t>Carina Siebers</t>
  </si>
  <si>
    <t>Brigitte Thiemann</t>
  </si>
  <si>
    <t>Anja Witte</t>
  </si>
  <si>
    <t>Kati Leinhäuser</t>
  </si>
  <si>
    <t>Alyssa Sarmiento</t>
  </si>
  <si>
    <t>Joachim Krüger</t>
  </si>
  <si>
    <t>Cyntia Heinatz</t>
  </si>
  <si>
    <t>Liane Hegert</t>
  </si>
  <si>
    <t>Antje Lütkemeier</t>
  </si>
  <si>
    <t>C - Trainer C</t>
  </si>
  <si>
    <t xml:space="preserve">A - keine </t>
  </si>
  <si>
    <t>A - nein</t>
  </si>
  <si>
    <t>B - ja</t>
  </si>
  <si>
    <t>D - über 10 Jahre</t>
  </si>
  <si>
    <t>C - von 5-10 Jahre</t>
  </si>
  <si>
    <t>B -  von 2-5 Jahre</t>
  </si>
  <si>
    <t>A - bis 2 Jahre</t>
  </si>
  <si>
    <t>E -  mehr als 20 Teilnehmer</t>
  </si>
  <si>
    <t>D - von 14 bis 20 Teilnehmer</t>
  </si>
  <si>
    <t>B - 6 bis 8 Teilnehmer</t>
  </si>
  <si>
    <t>Summe (stündliche Vergütung)</t>
  </si>
  <si>
    <t>als Assistenz:</t>
  </si>
  <si>
    <t>Ø Zahlung / jährlich (Schätzung)</t>
  </si>
  <si>
    <t xml:space="preserve"> =&gt; zu zwei mit Maja Schulz je:</t>
  </si>
  <si>
    <t>ab 2016</t>
  </si>
  <si>
    <t>aktuelle Zahlung (€ / Stunde)</t>
  </si>
  <si>
    <t>aktuelle Zahlung (Ø monatlich)</t>
  </si>
  <si>
    <t>gegebene Stunden / Woche</t>
  </si>
  <si>
    <t xml:space="preserve">  Ø Wochen / jährlich</t>
  </si>
  <si>
    <t>Ø Zahlung / jährlich</t>
  </si>
  <si>
    <t>Summe jährlich (circa aktuell)</t>
  </si>
  <si>
    <t>Trainerpauschale</t>
  </si>
  <si>
    <t>Mannschaft</t>
  </si>
  <si>
    <t>Q1/2019</t>
  </si>
  <si>
    <t>Q2/2019</t>
  </si>
  <si>
    <t>Q3/2019</t>
  </si>
  <si>
    <t>Q4/2019</t>
  </si>
  <si>
    <t>berechnete Monate</t>
  </si>
  <si>
    <t>Std.</t>
  </si>
  <si>
    <t>Deckelung je Mannschaft
Std.</t>
  </si>
  <si>
    <t>Woche</t>
  </si>
  <si>
    <t xml:space="preserve">Monat </t>
  </si>
  <si>
    <t>Quartal</t>
  </si>
  <si>
    <t>Sven Brüggmann</t>
  </si>
  <si>
    <t>Trainer 1. Herren</t>
  </si>
  <si>
    <t>Trainer</t>
  </si>
  <si>
    <t>Antonio Sarmiento</t>
  </si>
  <si>
    <t>Assistent 1. Herren</t>
  </si>
  <si>
    <t>Trainner - Assistenz</t>
  </si>
  <si>
    <t>Giancarlo Sarmiento Caballero</t>
  </si>
  <si>
    <t>Trainer Mini-Fussball</t>
  </si>
  <si>
    <t>Abrechnung / Stundenzettel</t>
  </si>
  <si>
    <t>Übungsleiter und Trainer</t>
  </si>
  <si>
    <t>bitte auswählen:</t>
  </si>
  <si>
    <t>Für Monat / Jahr:</t>
  </si>
  <si>
    <t>Ausbildung:</t>
  </si>
  <si>
    <t>Name, Vorname:</t>
  </si>
  <si>
    <t>Anschrift:</t>
  </si>
  <si>
    <t>Erfahrung:</t>
  </si>
  <si>
    <t>Geldinstitut / IBAN:</t>
  </si>
  <si>
    <t>Wettklampfbeteiligung:</t>
  </si>
  <si>
    <t>Datum</t>
  </si>
  <si>
    <t>Gruppe / Veranstaltung</t>
  </si>
  <si>
    <t>gegebene Stunden</t>
  </si>
  <si>
    <t>Teilnehmer</t>
  </si>
  <si>
    <t>Aufwands-entschädigung</t>
  </si>
  <si>
    <t>Stundensatz
[ € / Std.]</t>
  </si>
  <si>
    <t>A - bis 5 Teilnehmer</t>
  </si>
  <si>
    <t>Auszuzahlender Betrag</t>
  </si>
  <si>
    <t>Summe:</t>
  </si>
  <si>
    <t>Unterschrift Übungsleiter</t>
  </si>
  <si>
    <t>Vergütungsanteile
Sportangebot</t>
  </si>
  <si>
    <t>Vergütungsanteile
Kursangebot</t>
  </si>
  <si>
    <t>Maja Schulz</t>
  </si>
  <si>
    <t>1. Ausbildung</t>
  </si>
  <si>
    <r>
      <t xml:space="preserve">stündliche Vergütung
</t>
    </r>
    <r>
      <rPr>
        <b/>
        <sz val="11"/>
        <color theme="1"/>
        <rFont val="Calibri"/>
        <family val="2"/>
        <scheme val="minor"/>
      </rPr>
      <t>bis 2019</t>
    </r>
  </si>
  <si>
    <r>
      <t xml:space="preserve">stündliche Vergütung
</t>
    </r>
    <r>
      <rPr>
        <b/>
        <sz val="11"/>
        <color theme="1"/>
        <rFont val="Calibri"/>
        <family val="2"/>
        <scheme val="minor"/>
      </rPr>
      <t>ab 2020</t>
    </r>
  </si>
  <si>
    <t>Kursgebühr</t>
  </si>
  <si>
    <t>€uro / 10 Übungsstunden</t>
  </si>
  <si>
    <r>
      <t xml:space="preserve">Teilnehmer </t>
    </r>
    <r>
      <rPr>
        <sz val="8"/>
        <color theme="1"/>
        <rFont val="Calibri"/>
        <family val="2"/>
        <scheme val="minor"/>
      </rPr>
      <t>Vereinsmitglied</t>
    </r>
  </si>
  <si>
    <r>
      <t xml:space="preserve">Teilnehmer </t>
    </r>
    <r>
      <rPr>
        <sz val="8"/>
        <color theme="1"/>
        <rFont val="Calibri"/>
        <family val="2"/>
        <scheme val="minor"/>
      </rPr>
      <t>Nicht -Vereinsmitglied</t>
    </r>
  </si>
  <si>
    <t>D - Trainer B</t>
  </si>
  <si>
    <t>KursVergütung</t>
  </si>
  <si>
    <t>E - Trainer A</t>
  </si>
  <si>
    <t>2. gültige Lizenz</t>
  </si>
  <si>
    <t>Ü-Leiter</t>
  </si>
  <si>
    <t>3. Erfahrung</t>
  </si>
  <si>
    <t>Summe Trainer &amp; Ü-Leiter</t>
  </si>
  <si>
    <t>4. Gruppengröße</t>
  </si>
  <si>
    <t>C - 9 bis 13 Teilnehmer</t>
  </si>
  <si>
    <t>5. Wettkampfbeteiligung</t>
  </si>
  <si>
    <t>B -  ja</t>
  </si>
  <si>
    <t>6. Pauschalvergütung (monatlich) entfällt</t>
  </si>
  <si>
    <t xml:space="preserve">     Abrechnung Trainer zukünftig wie Übungsleiter</t>
  </si>
  <si>
    <t>Trainer - Assistenz</t>
  </si>
  <si>
    <t>Beitragsstatistik</t>
  </si>
  <si>
    <t>Aktuell</t>
  </si>
  <si>
    <t>Vorschlag, gültig ab 2020</t>
  </si>
  <si>
    <t>Anzahl</t>
  </si>
  <si>
    <t>Jahresbeitrag aktuell</t>
  </si>
  <si>
    <t>Betragssumme aktuell</t>
  </si>
  <si>
    <t>Jahresbeitrag Vorschlag</t>
  </si>
  <si>
    <t>Betragssumme ab 2020</t>
  </si>
  <si>
    <t>Erhöhung Kinder in %
=&gt; durchschnittlich jährliche Erhöhung</t>
  </si>
  <si>
    <t>Erhöhung Erwachsene in %
=&gt; durchschnittlich jährliche Erhöhung</t>
  </si>
  <si>
    <t>Erhöhung Familien in %
=&gt; durchschnittlich jährliche Erhöhung</t>
  </si>
  <si>
    <t>Erwachsene</t>
  </si>
  <si>
    <t>Kinder</t>
  </si>
  <si>
    <t>Familienbeitrag</t>
  </si>
  <si>
    <t>Beitrag Passiv</t>
  </si>
  <si>
    <t>Familienmitgliedschaft</t>
  </si>
  <si>
    <t>Ehrenmitglied</t>
  </si>
  <si>
    <t>Flüchtlingen</t>
  </si>
  <si>
    <t>Mehreinnahmen</t>
  </si>
  <si>
    <t>Thomas Kischel</t>
  </si>
  <si>
    <t xml:space="preserve"> Ø Wochen / jährlich</t>
  </si>
  <si>
    <t>Petra Sarmiento</t>
  </si>
  <si>
    <t>Berechnung Kurse ab März 2018</t>
  </si>
  <si>
    <t>Kurse:</t>
  </si>
  <si>
    <t xml:space="preserve">bei Mitglieder volle Kursgebühr, </t>
  </si>
  <si>
    <t>bei Nichtmitglieder halbe Kursgebühr als ÜL-Abrechnung</t>
  </si>
  <si>
    <t>Q1/2018</t>
  </si>
  <si>
    <t>Q2/2018</t>
  </si>
  <si>
    <t>Q3/2018</t>
  </si>
  <si>
    <t>Q4/2018</t>
  </si>
  <si>
    <t>Assistent JSG Elbtal</t>
  </si>
  <si>
    <t>Pascal Röber</t>
  </si>
  <si>
    <t>Assistent Mini-Fussball</t>
  </si>
  <si>
    <t>Q4/2016</t>
  </si>
  <si>
    <t>Q1/2017</t>
  </si>
  <si>
    <t>Q2/2017</t>
  </si>
  <si>
    <t>Q3/2017</t>
  </si>
  <si>
    <t>Q4/2017</t>
  </si>
  <si>
    <t>Name</t>
  </si>
  <si>
    <t>Vorname</t>
  </si>
  <si>
    <t>email</t>
  </si>
  <si>
    <t>Ausbildung</t>
  </si>
  <si>
    <t xml:space="preserve">Lizenz: </t>
  </si>
  <si>
    <t xml:space="preserve">Erfahrung: </t>
  </si>
  <si>
    <t xml:space="preserve">Gruppe: </t>
  </si>
  <si>
    <t>Wettkampf:</t>
  </si>
  <si>
    <t>Gesamt €uro / Stunde:</t>
  </si>
  <si>
    <t>€uro Pauschl / Monat</t>
  </si>
  <si>
    <t>Lizenzverlängerung</t>
  </si>
  <si>
    <t>Ingrid</t>
  </si>
  <si>
    <t>wikanzler@t-online.de</t>
  </si>
  <si>
    <t>Bitte gib mir auch bescheid wenn Du zwischenzeitlich Deine Lizenz verlängern konntest. Ich bräuchte dann bitte eine Kopie Deiner Übungsleitrlizenz, so dass ich sie beim KSB nachreichen kann. Vielen Dank im Voraus!</t>
  </si>
  <si>
    <t>Renate</t>
  </si>
  <si>
    <t>krafft.renate@t-online.de</t>
  </si>
  <si>
    <t>Kati Leinhaeuser</t>
  </si>
  <si>
    <t>Kati</t>
  </si>
  <si>
    <t>kati.leinhaeuser@gmx.de</t>
  </si>
  <si>
    <t xml:space="preserve">Simone </t>
  </si>
  <si>
    <t>ranzbo@gmx.de</t>
  </si>
  <si>
    <t>Alyssa</t>
  </si>
  <si>
    <t>alyssa.sarmiento@web.de</t>
  </si>
  <si>
    <t>Carina</t>
  </si>
  <si>
    <t>riasiebers@web.de</t>
  </si>
  <si>
    <t>Brigitte</t>
  </si>
  <si>
    <t>tunwart@stv-artlenburg.de</t>
  </si>
  <si>
    <t>Anja</t>
  </si>
  <si>
    <t>artwiro@t-online.de</t>
  </si>
  <si>
    <t>Sven</t>
  </si>
  <si>
    <t>s.brueggmann64@web.de</t>
  </si>
  <si>
    <t>Thomas</t>
  </si>
  <si>
    <t>thomas.kischel@t-online.de</t>
  </si>
  <si>
    <t>Joachim</t>
  </si>
  <si>
    <t>joachim.krueger.artl@t-online.de</t>
  </si>
  <si>
    <t>Giancarlo</t>
  </si>
  <si>
    <t>Q1/2016</t>
  </si>
  <si>
    <t>Q2/2016</t>
  </si>
  <si>
    <t>Q3/2016</t>
  </si>
  <si>
    <t>stündliche Vergütung</t>
  </si>
  <si>
    <t>B - Sportassistent</t>
  </si>
  <si>
    <t>Pauschale Abrechnung</t>
  </si>
  <si>
    <t>monatlich</t>
  </si>
  <si>
    <t>Trainer - Ü-Leiter</t>
  </si>
  <si>
    <t>Trainer Assistents</t>
  </si>
  <si>
    <t>Q1/2015</t>
  </si>
  <si>
    <t>Q2/2015</t>
  </si>
  <si>
    <t>Q3/2015</t>
  </si>
  <si>
    <t>Q4/2015</t>
  </si>
  <si>
    <t>C - Trainer A</t>
  </si>
  <si>
    <t>E - Trainer c</t>
  </si>
  <si>
    <t>?</t>
  </si>
  <si>
    <t>Trainer angepasst</t>
  </si>
  <si>
    <t>inkl. Erhöhung</t>
  </si>
  <si>
    <t>Summe jährlich (circa Trainer angepasst)</t>
  </si>
  <si>
    <t>Summe jährlich (circa inkl. Erhöhung)</t>
  </si>
  <si>
    <t>Vorschlag 1
Trainer angepasst</t>
  </si>
  <si>
    <t xml:space="preserve"> Zahlung (€ / Stunde)</t>
  </si>
  <si>
    <t xml:space="preserve"> Zahlung (Ø monatlich)</t>
  </si>
  <si>
    <t>Vorschlag 2
inkl. Erhöhung</t>
  </si>
  <si>
    <t>Sportart</t>
  </si>
  <si>
    <t>Tag</t>
  </si>
  <si>
    <t>von</t>
  </si>
  <si>
    <t>bis</t>
  </si>
  <si>
    <t>Gesamtzeit</t>
  </si>
  <si>
    <t>€ / Std.</t>
  </si>
  <si>
    <t>Euro/Woche</t>
  </si>
  <si>
    <t>Euro/Monat</t>
  </si>
  <si>
    <t>Euro/Jahr</t>
  </si>
  <si>
    <t>erforderliche Kinder</t>
  </si>
  <si>
    <t>erforderliche Erwachsene</t>
  </si>
  <si>
    <t>Tanzmäuse</t>
  </si>
  <si>
    <t>Montag</t>
  </si>
  <si>
    <t>Funny dance kids</t>
  </si>
  <si>
    <t>Martin Ahrendt</t>
  </si>
  <si>
    <t>Judo</t>
  </si>
  <si>
    <t>Fit for fun</t>
  </si>
  <si>
    <t>Volkstanz</t>
  </si>
  <si>
    <t>Yvonne Schütt</t>
  </si>
  <si>
    <t>Handball</t>
  </si>
  <si>
    <t>Dienstag</t>
  </si>
  <si>
    <t>Damengymnastik</t>
  </si>
  <si>
    <t>Stickwalking</t>
  </si>
  <si>
    <t>Mittwoch</t>
  </si>
  <si>
    <t>Andreas Philipp</t>
  </si>
  <si>
    <t>Badminton</t>
  </si>
  <si>
    <t>Eltern-Kind-Turnen</t>
  </si>
  <si>
    <t>Donnerstag</t>
  </si>
  <si>
    <t>Wiebke Lender</t>
  </si>
  <si>
    <t>Kinderturnen Maxi</t>
  </si>
  <si>
    <t>Geräteturnen</t>
  </si>
  <si>
    <t>Manuela Kischel</t>
  </si>
  <si>
    <t>Franz Niquet</t>
  </si>
  <si>
    <t>Tischtennis</t>
  </si>
  <si>
    <t>Kinderturnen Mini II</t>
  </si>
  <si>
    <t>Freitag</t>
  </si>
  <si>
    <t>Einradfahren</t>
  </si>
  <si>
    <t>Aerobic</t>
  </si>
  <si>
    <t>Albert Bünger</t>
  </si>
  <si>
    <t>Herrenturnen</t>
  </si>
  <si>
    <t>Sparte</t>
  </si>
  <si>
    <t>Fussball</t>
  </si>
  <si>
    <t>Jugendfussball</t>
  </si>
  <si>
    <t>Fahrgeld</t>
  </si>
  <si>
    <t>Trainer-Vergütungen</t>
  </si>
  <si>
    <t>Fred Steinbeck</t>
  </si>
  <si>
    <t>Mo., Mi,</t>
  </si>
  <si>
    <t>pauschal</t>
  </si>
  <si>
    <t>Holger Thun</t>
  </si>
  <si>
    <t>Do</t>
  </si>
  <si>
    <t>Jörg Lüneburg</t>
  </si>
  <si>
    <t>Di,Do</t>
  </si>
  <si>
    <t>Mi,Fr</t>
  </si>
  <si>
    <t>Toni Samiento</t>
  </si>
  <si>
    <t>monatliche Summe (Aufgeschlüsselt nach Übungsleiter)</t>
  </si>
  <si>
    <t xml:space="preserve">monatliche Summe </t>
  </si>
  <si>
    <t>ÜL- -Gesamt</t>
  </si>
  <si>
    <r>
      <t xml:space="preserve">stündliche Vergütung
</t>
    </r>
    <r>
      <rPr>
        <b/>
        <sz val="11"/>
        <color theme="1"/>
        <rFont val="Calibri"/>
        <family val="2"/>
        <scheme val="minor"/>
      </rPr>
      <t>ab 2023</t>
    </r>
  </si>
  <si>
    <t>ÜL-Budget 2019</t>
  </si>
  <si>
    <t>ÜL-Budget 2020</t>
  </si>
  <si>
    <t>ÜL-Budget 2023</t>
  </si>
  <si>
    <t>Jahr</t>
  </si>
  <si>
    <t>Katja Bruns
Step-Aerobic</t>
  </si>
  <si>
    <t>Joachim Krüger
Badminton</t>
  </si>
  <si>
    <t>Alyssa Sarmiento
Maxi-Turnen  /  Geräteturnen</t>
  </si>
  <si>
    <t>Kati Leinhäuser
Drums Alive</t>
  </si>
  <si>
    <t>Anja Witte
Fit for Fun  / Step Aerobic</t>
  </si>
  <si>
    <t>Brigitte Thiemann
Eltern Kind Turnen</t>
  </si>
  <si>
    <t>Klaus Schreiber
Thai Chi</t>
  </si>
  <si>
    <t>Simone Ranzau
Maxi-Turnen  /  Geräteturnen</t>
  </si>
  <si>
    <t>Renate Krafft
Volkstanzen</t>
  </si>
  <si>
    <t>Ingrid Kanzler
Linedace</t>
  </si>
  <si>
    <t>Alexandra Hermann-Plickat 
Zumba</t>
  </si>
  <si>
    <t>Kathi Koop
Eltern Kind Turnen</t>
  </si>
  <si>
    <t>Janina Manconi
Yoga</t>
  </si>
  <si>
    <t>Jasmin Nowakowitsch
Mini Turnen</t>
  </si>
  <si>
    <t>~ Wochen:</t>
  </si>
  <si>
    <t>Empfänger:</t>
  </si>
  <si>
    <t>IBAN:</t>
  </si>
  <si>
    <t>Verwendungszweck:</t>
  </si>
  <si>
    <t>Betrag:</t>
  </si>
  <si>
    <t xml:space="preserve">Aufwandsentschädigung </t>
  </si>
  <si>
    <t xml:space="preserve">Std. </t>
  </si>
  <si>
    <t>Vielen Dank</t>
  </si>
  <si>
    <t>gültige LSB/KSB Lizenz:</t>
  </si>
  <si>
    <r>
      <t xml:space="preserve">A1 - Sportassistent (Erfahrung </t>
    </r>
    <r>
      <rPr>
        <sz val="11"/>
        <color theme="1"/>
        <rFont val="Calibri"/>
        <family val="2"/>
      </rPr>
      <t>≤</t>
    </r>
    <r>
      <rPr>
        <sz val="11"/>
        <color theme="1"/>
        <rFont val="Calibri"/>
        <family val="2"/>
        <scheme val="minor"/>
      </rPr>
      <t>3 Jahre)</t>
    </r>
  </si>
  <si>
    <t>A2 - Sportassistent (Erfahrung &gt; 3 Jahre)</t>
  </si>
  <si>
    <t>A1 - Sportassistent (Erfahrung ≤3 Jahre)</t>
  </si>
  <si>
    <t xml:space="preserve">B - keine </t>
  </si>
  <si>
    <t>Version März 2024</t>
  </si>
  <si>
    <t>lfd. Nr.</t>
  </si>
  <si>
    <t>Vorname Name</t>
  </si>
  <si>
    <t>Teilnehmer*in</t>
  </si>
  <si>
    <t>Teilnahmen (Training und Übungstage)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</si>
</sst>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407]_-;\-* #,##0.00\ [$€-407]_-;_-* &quot;-&quot;??\ [$€-407]_-;_-@_-"/>
    <numFmt numFmtId="165" formatCode="#,##0.00\ &quot;€&quot;"/>
    <numFmt numFmtId="166" formatCode="0.0"/>
    <numFmt numFmtId="167" formatCode="#,##0.00\ &quot;€&quot;;[Red]#,###\1.00\ &quot;€&quot;"/>
    <numFmt numFmtId="168" formatCode="#,##0_ ;\-#,##0\ "/>
    <numFmt numFmtId="169" formatCode="0.0%"/>
    <numFmt numFmtId="170" formatCode="ddd/dd/mm/yyyy"/>
  </numFmts>
  <fonts count="33" x14ac:knownFonts="1">
    <font>
      <sz val="11"/>
      <color theme="1"/>
      <name val="Calibri"/>
      <family val="2"/>
      <scheme val="minor"/>
    </font>
    <font>
      <sz val="10"/>
      <name val="Arial"/>
      <family val="2"/>
    </font>
    <font>
      <b/>
      <sz val="10"/>
      <name val="Arial"/>
      <family val="2"/>
    </font>
    <font>
      <sz val="10"/>
      <color indexed="22"/>
      <name val="Arial"/>
      <family val="2"/>
    </font>
    <font>
      <i/>
      <sz val="10"/>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
      <sz val="11"/>
      <color theme="1"/>
      <name val="Arial Black"/>
      <family val="2"/>
    </font>
    <font>
      <sz val="9"/>
      <color theme="1"/>
      <name val="Calibri"/>
      <family val="2"/>
      <scheme val="minor"/>
    </font>
    <font>
      <sz val="8"/>
      <color theme="1"/>
      <name val="Calibri"/>
      <family val="2"/>
      <scheme val="minor"/>
    </font>
    <font>
      <strike/>
      <sz val="11"/>
      <color theme="1"/>
      <name val="Calibri"/>
      <family val="2"/>
      <scheme val="minor"/>
    </font>
    <font>
      <sz val="9"/>
      <color indexed="81"/>
      <name val="Segoe UI"/>
      <family val="2"/>
    </font>
    <font>
      <b/>
      <sz val="9"/>
      <color indexed="81"/>
      <name val="Segoe UI"/>
      <family val="2"/>
    </font>
    <font>
      <sz val="11"/>
      <color indexed="8"/>
      <name val="Calibri"/>
      <family val="2"/>
    </font>
    <font>
      <sz val="11"/>
      <color theme="1"/>
      <name val="Calibri"/>
      <family val="2"/>
    </font>
    <font>
      <sz val="11"/>
      <color theme="0"/>
      <name val="Calibri"/>
      <family val="2"/>
      <scheme val="minor"/>
    </font>
    <font>
      <sz val="11"/>
      <color rgb="FF002060"/>
      <name val="Calibri"/>
      <family val="2"/>
      <scheme val="minor"/>
    </font>
    <font>
      <b/>
      <sz val="11"/>
      <color rgb="FF002060"/>
      <name val="Calibri"/>
      <family val="2"/>
      <scheme val="minor"/>
    </font>
    <font>
      <b/>
      <sz val="14"/>
      <color theme="1"/>
      <name val="Arial"/>
      <family val="2"/>
    </font>
    <font>
      <i/>
      <sz val="11"/>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i/>
      <sz val="8"/>
      <color theme="3"/>
      <name val="Calibri"/>
      <family val="2"/>
      <scheme val="minor"/>
    </font>
    <font>
      <sz val="11"/>
      <color theme="0" tint="-0.14999847407452621"/>
      <name val="Calibri"/>
      <family val="2"/>
      <scheme val="minor"/>
    </font>
    <font>
      <sz val="12"/>
      <color rgb="FF002060"/>
      <name val="Arial"/>
      <family val="2"/>
    </font>
    <font>
      <b/>
      <sz val="16"/>
      <color rgb="FF002060"/>
      <name val="Arial"/>
      <family val="2"/>
    </font>
    <font>
      <b/>
      <sz val="20"/>
      <color rgb="FF002060"/>
      <name val="Calibri"/>
      <family val="2"/>
      <scheme val="minor"/>
    </font>
    <font>
      <i/>
      <sz val="8"/>
      <color theme="0" tint="-0.14999847407452621"/>
      <name val="Calibri"/>
      <family val="2"/>
      <scheme val="minor"/>
    </font>
    <font>
      <sz val="11"/>
      <color rgb="FF0070C0"/>
      <name val="Calibri"/>
      <family val="2"/>
      <scheme val="minor"/>
    </font>
    <font>
      <b/>
      <sz val="11"/>
      <color rgb="FF0070C0"/>
      <name val="Calibri"/>
      <family val="2"/>
      <scheme val="minor"/>
    </font>
    <font>
      <b/>
      <sz val="20"/>
      <color rgb="FF0070C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s>
  <borders count="59">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medium">
        <color rgb="FF002060"/>
      </left>
      <right/>
      <top style="thin">
        <color rgb="FF002060"/>
      </top>
      <bottom style="thin">
        <color rgb="FF002060"/>
      </bottom>
      <diagonal/>
    </border>
    <border>
      <left/>
      <right/>
      <top style="thin">
        <color rgb="FF002060"/>
      </top>
      <bottom style="thin">
        <color rgb="FF002060"/>
      </bottom>
      <diagonal/>
    </border>
    <border>
      <left/>
      <right style="medium">
        <color rgb="FF002060"/>
      </right>
      <top style="thin">
        <color rgb="FF002060"/>
      </top>
      <bottom style="thin">
        <color rgb="FF002060"/>
      </bottom>
      <diagonal/>
    </border>
    <border>
      <left/>
      <right/>
      <top style="medium">
        <color rgb="FF002060"/>
      </top>
      <bottom style="thin">
        <color rgb="FF002060"/>
      </bottom>
      <diagonal/>
    </border>
    <border>
      <left style="thin">
        <color rgb="FF002060"/>
      </left>
      <right/>
      <top style="thin">
        <color rgb="FF002060"/>
      </top>
      <bottom style="thin">
        <color rgb="FF002060"/>
      </bottom>
      <diagonal/>
    </border>
    <border>
      <left style="medium">
        <color rgb="FF002060"/>
      </left>
      <right/>
      <top style="medium">
        <color rgb="FF002060"/>
      </top>
      <bottom style="thin">
        <color rgb="FF002060"/>
      </bottom>
      <diagonal/>
    </border>
    <border>
      <left/>
      <right style="medium">
        <color rgb="FF002060"/>
      </right>
      <top style="medium">
        <color rgb="FF002060"/>
      </top>
      <bottom style="thin">
        <color rgb="FF002060"/>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5">
    <xf numFmtId="0" fontId="0" fillId="0" borderId="0"/>
    <xf numFmtId="0" fontId="1" fillId="0" borderId="0"/>
    <xf numFmtId="44" fontId="5" fillId="0" borderId="0" applyFont="0" applyFill="0" applyBorder="0" applyAlignment="0" applyProtection="0"/>
    <xf numFmtId="9" fontId="5" fillId="0" borderId="0" applyFont="0" applyFill="0" applyBorder="0" applyAlignment="0" applyProtection="0"/>
    <xf numFmtId="0" fontId="14" fillId="0" borderId="0">
      <alignment vertical="top"/>
    </xf>
  </cellStyleXfs>
  <cellXfs count="230">
    <xf numFmtId="0" fontId="0" fillId="0" borderId="0" xfId="0"/>
    <xf numFmtId="0" fontId="0" fillId="0" borderId="0" xfId="0" applyAlignment="1">
      <alignment vertical="top"/>
    </xf>
    <xf numFmtId="0" fontId="0" fillId="0" borderId="0" xfId="0" applyAlignment="1" applyProtection="1">
      <alignment vertical="top"/>
      <protection locked="0"/>
    </xf>
    <xf numFmtId="44" fontId="5" fillId="0" borderId="0" xfId="2" applyAlignment="1">
      <alignment vertical="top"/>
    </xf>
    <xf numFmtId="44" fontId="6" fillId="0" borderId="1" xfId="0" applyNumberFormat="1" applyFont="1" applyBorder="1" applyAlignment="1">
      <alignment vertical="top"/>
    </xf>
    <xf numFmtId="0" fontId="0" fillId="2" borderId="0" xfId="0" applyFill="1" applyAlignment="1">
      <alignment vertical="top"/>
    </xf>
    <xf numFmtId="0" fontId="0" fillId="3" borderId="0" xfId="0" applyFill="1" applyAlignment="1">
      <alignment vertical="top"/>
    </xf>
    <xf numFmtId="44" fontId="7" fillId="3" borderId="0" xfId="2" applyFont="1" applyFill="1" applyAlignment="1" applyProtection="1">
      <alignment vertical="top"/>
      <protection locked="0"/>
    </xf>
    <xf numFmtId="44" fontId="5" fillId="3" borderId="0" xfId="2" applyFill="1" applyAlignment="1" applyProtection="1">
      <alignment vertical="top"/>
      <protection locked="0"/>
    </xf>
    <xf numFmtId="0" fontId="0" fillId="3" borderId="0" xfId="0" applyFill="1" applyAlignment="1" applyProtection="1">
      <alignment vertical="top"/>
      <protection locked="0"/>
    </xf>
    <xf numFmtId="44" fontId="5" fillId="3" borderId="0" xfId="2" applyFill="1" applyAlignment="1">
      <alignment vertical="top"/>
    </xf>
    <xf numFmtId="44" fontId="6" fillId="0" borderId="0" xfId="0" applyNumberFormat="1" applyFont="1" applyAlignment="1">
      <alignment vertical="top"/>
    </xf>
    <xf numFmtId="44" fontId="0" fillId="0" borderId="0" xfId="0" applyNumberFormat="1" applyAlignment="1">
      <alignment vertical="top"/>
    </xf>
    <xf numFmtId="44" fontId="6" fillId="3" borderId="1" xfId="0" applyNumberFormat="1" applyFont="1" applyFill="1" applyBorder="1" applyAlignment="1">
      <alignment vertical="top"/>
    </xf>
    <xf numFmtId="0" fontId="1" fillId="0" borderId="0" xfId="1"/>
    <xf numFmtId="165" fontId="1" fillId="0" borderId="0" xfId="1" applyNumberFormat="1"/>
    <xf numFmtId="166" fontId="1" fillId="0" borderId="0" xfId="1" applyNumberFormat="1" applyAlignment="1">
      <alignment horizontal="center"/>
    </xf>
    <xf numFmtId="20" fontId="1" fillId="0" borderId="0" xfId="1" applyNumberFormat="1"/>
    <xf numFmtId="167" fontId="1" fillId="0" borderId="0" xfId="1" applyNumberFormat="1"/>
    <xf numFmtId="0" fontId="1" fillId="0" borderId="0" xfId="1" applyAlignment="1">
      <alignment horizontal="center"/>
    </xf>
    <xf numFmtId="165" fontId="3" fillId="0" borderId="0" xfId="1" applyNumberFormat="1" applyFont="1"/>
    <xf numFmtId="165" fontId="4" fillId="0" borderId="1" xfId="1" applyNumberFormat="1" applyFont="1" applyBorder="1"/>
    <xf numFmtId="0" fontId="2" fillId="0" borderId="2" xfId="1" applyFont="1" applyBorder="1" applyProtection="1">
      <protection hidden="1"/>
    </xf>
    <xf numFmtId="166" fontId="2" fillId="0" borderId="2" xfId="1" applyNumberFormat="1" applyFont="1" applyBorder="1" applyAlignment="1" applyProtection="1">
      <alignment horizontal="center" wrapText="1"/>
      <protection hidden="1"/>
    </xf>
    <xf numFmtId="0" fontId="2" fillId="0" borderId="2" xfId="1" applyFont="1" applyBorder="1" applyAlignment="1" applyProtection="1">
      <alignment horizontal="center" wrapText="1"/>
      <protection hidden="1"/>
    </xf>
    <xf numFmtId="0" fontId="0" fillId="0" borderId="0" xfId="0" applyProtection="1">
      <protection locked="0"/>
    </xf>
    <xf numFmtId="164" fontId="0" fillId="0" borderId="0" xfId="0" applyNumberFormat="1" applyProtection="1">
      <protection locked="0"/>
    </xf>
    <xf numFmtId="44" fontId="5" fillId="0" borderId="0" xfId="2" applyProtection="1">
      <protection locked="0"/>
    </xf>
    <xf numFmtId="0" fontId="0" fillId="4" borderId="0" xfId="0" applyFill="1" applyAlignment="1">
      <alignment vertical="top"/>
    </xf>
    <xf numFmtId="0" fontId="0" fillId="4" borderId="0" xfId="0" applyFill="1" applyAlignment="1" applyProtection="1">
      <alignment horizontal="center" vertical="top" wrapText="1"/>
      <protection locked="0"/>
    </xf>
    <xf numFmtId="0" fontId="9" fillId="4" borderId="0" xfId="0" applyFont="1" applyFill="1" applyAlignment="1" applyProtection="1">
      <alignment horizontal="center" vertical="top" wrapText="1"/>
      <protection locked="0"/>
    </xf>
    <xf numFmtId="164" fontId="0" fillId="0" borderId="0" xfId="0" applyNumberFormat="1" applyAlignment="1">
      <alignment vertical="top"/>
    </xf>
    <xf numFmtId="0" fontId="0" fillId="0" borderId="0" xfId="0" applyAlignment="1">
      <alignment horizontal="left" vertical="top" indent="1"/>
    </xf>
    <xf numFmtId="0" fontId="0" fillId="0" borderId="0" xfId="0" applyAlignment="1">
      <alignment horizontal="left" indent="1"/>
    </xf>
    <xf numFmtId="44" fontId="5" fillId="5" borderId="0" xfId="2" applyFill="1" applyAlignment="1">
      <alignment vertical="top"/>
    </xf>
    <xf numFmtId="44" fontId="5" fillId="0" borderId="0" xfId="2" applyAlignment="1">
      <alignment horizontal="center" vertical="center" textRotation="90"/>
    </xf>
    <xf numFmtId="0" fontId="0" fillId="6" borderId="0" xfId="0" applyFill="1" applyAlignment="1">
      <alignment vertical="top"/>
    </xf>
    <xf numFmtId="44" fontId="7" fillId="6" borderId="0" xfId="2" applyFont="1" applyFill="1" applyAlignment="1" applyProtection="1">
      <alignment vertical="top"/>
      <protection locked="0"/>
    </xf>
    <xf numFmtId="44" fontId="5" fillId="6" borderId="0" xfId="2" applyFill="1" applyAlignment="1" applyProtection="1">
      <alignment vertical="top"/>
      <protection locked="0"/>
    </xf>
    <xf numFmtId="0" fontId="0" fillId="6" borderId="0" xfId="0" applyFill="1" applyAlignment="1" applyProtection="1">
      <alignment vertical="top"/>
      <protection locked="0"/>
    </xf>
    <xf numFmtId="44" fontId="5" fillId="6" borderId="0" xfId="2" applyFill="1" applyAlignment="1">
      <alignment vertical="top"/>
    </xf>
    <xf numFmtId="0" fontId="0" fillId="7" borderId="0" xfId="0" applyFill="1" applyAlignment="1">
      <alignment vertical="top"/>
    </xf>
    <xf numFmtId="44" fontId="6" fillId="7" borderId="1" xfId="0" applyNumberFormat="1" applyFont="1" applyFill="1" applyBorder="1" applyAlignment="1">
      <alignment vertical="top"/>
    </xf>
    <xf numFmtId="44" fontId="6" fillId="6" borderId="1" xfId="0" applyNumberFormat="1" applyFont="1" applyFill="1" applyBorder="1" applyAlignment="1">
      <alignment vertical="top"/>
    </xf>
    <xf numFmtId="0" fontId="6" fillId="5" borderId="0" xfId="0" applyFont="1" applyFill="1" applyAlignment="1">
      <alignment horizontal="center" vertical="top"/>
    </xf>
    <xf numFmtId="0" fontId="0" fillId="7" borderId="0" xfId="0" applyFill="1" applyAlignment="1">
      <alignment vertical="center" textRotation="90"/>
    </xf>
    <xf numFmtId="44" fontId="7" fillId="7" borderId="0" xfId="2" applyFont="1" applyFill="1" applyAlignment="1" applyProtection="1">
      <alignment vertical="top"/>
      <protection locked="0"/>
    </xf>
    <xf numFmtId="44" fontId="5" fillId="7" borderId="0" xfId="2" applyFill="1" applyAlignment="1" applyProtection="1">
      <alignment vertical="top"/>
      <protection locked="0"/>
    </xf>
    <xf numFmtId="0" fontId="0" fillId="7" borderId="0" xfId="0" applyFill="1" applyAlignment="1" applyProtection="1">
      <alignment vertical="top"/>
      <protection locked="0"/>
    </xf>
    <xf numFmtId="44" fontId="5" fillId="7" borderId="0" xfId="2" applyFill="1" applyAlignment="1">
      <alignment vertical="top"/>
    </xf>
    <xf numFmtId="9" fontId="0" fillId="0" borderId="0" xfId="3" applyFont="1" applyAlignment="1">
      <alignment vertical="top"/>
    </xf>
    <xf numFmtId="0" fontId="0" fillId="3" borderId="0" xfId="0" applyFill="1" applyAlignment="1">
      <alignment horizontal="right" vertical="top"/>
    </xf>
    <xf numFmtId="0" fontId="0" fillId="6" borderId="0" xfId="0" applyFill="1" applyAlignment="1">
      <alignment horizontal="right" vertical="top"/>
    </xf>
    <xf numFmtId="0" fontId="0" fillId="7" borderId="0" xfId="0" applyFill="1" applyAlignment="1">
      <alignment horizontal="right" vertical="top"/>
    </xf>
    <xf numFmtId="0" fontId="6" fillId="0" borderId="0" xfId="0" applyFont="1" applyAlignment="1">
      <alignment horizontal="center" vertical="top"/>
    </xf>
    <xf numFmtId="44" fontId="0" fillId="0" borderId="3" xfId="2" applyFont="1" applyBorder="1" applyAlignment="1">
      <alignment vertical="top"/>
    </xf>
    <xf numFmtId="0" fontId="6" fillId="0" borderId="4" xfId="0" applyFont="1" applyBorder="1" applyAlignment="1">
      <alignment vertical="top"/>
    </xf>
    <xf numFmtId="0" fontId="6" fillId="0" borderId="5" xfId="0" applyFont="1" applyBorder="1" applyAlignment="1">
      <alignment horizontal="right" vertical="top"/>
    </xf>
    <xf numFmtId="0" fontId="6" fillId="0" borderId="6" xfId="0" applyFont="1" applyBorder="1" applyAlignment="1">
      <alignment horizontal="right" vertical="top"/>
    </xf>
    <xf numFmtId="0" fontId="0" fillId="0" borderId="7" xfId="0" applyBorder="1" applyAlignment="1">
      <alignment horizontal="left" vertical="top" indent="1"/>
    </xf>
    <xf numFmtId="44" fontId="0" fillId="0" borderId="8" xfId="2" applyFont="1" applyBorder="1" applyAlignment="1">
      <alignment vertical="top"/>
    </xf>
    <xf numFmtId="0" fontId="0" fillId="0" borderId="7" xfId="0" applyBorder="1" applyAlignment="1">
      <alignment horizontal="left" indent="1"/>
    </xf>
    <xf numFmtId="0" fontId="0" fillId="0" borderId="9" xfId="0" applyBorder="1" applyAlignment="1">
      <alignment horizontal="left" indent="1"/>
    </xf>
    <xf numFmtId="44" fontId="0" fillId="0" borderId="10" xfId="2" applyFont="1" applyBorder="1" applyAlignment="1">
      <alignment vertical="top"/>
    </xf>
    <xf numFmtId="44" fontId="0" fillId="0" borderId="11" xfId="2" applyFont="1" applyBorder="1" applyAlignment="1">
      <alignment vertical="top"/>
    </xf>
    <xf numFmtId="44" fontId="0" fillId="0" borderId="0" xfId="0" applyNumberFormat="1"/>
    <xf numFmtId="0" fontId="6" fillId="0" borderId="5" xfId="0" applyFont="1" applyBorder="1" applyAlignment="1">
      <alignment vertical="top"/>
    </xf>
    <xf numFmtId="0" fontId="0" fillId="0" borderId="12" xfId="0" applyBorder="1" applyAlignment="1">
      <alignment horizontal="left" indent="1"/>
    </xf>
    <xf numFmtId="0" fontId="0" fillId="5" borderId="0" xfId="0" applyFill="1" applyAlignment="1">
      <alignment vertical="top"/>
    </xf>
    <xf numFmtId="44" fontId="0" fillId="5" borderId="0" xfId="0" applyNumberFormat="1" applyFill="1" applyAlignment="1">
      <alignment vertical="top"/>
    </xf>
    <xf numFmtId="44" fontId="11" fillId="0" borderId="3" xfId="2" applyFont="1" applyBorder="1" applyAlignment="1">
      <alignment vertical="top"/>
    </xf>
    <xf numFmtId="44" fontId="11" fillId="0" borderId="8" xfId="2" applyFont="1" applyBorder="1" applyAlignment="1">
      <alignment vertical="top"/>
    </xf>
    <xf numFmtId="0" fontId="0" fillId="0" borderId="0" xfId="0" applyAlignment="1">
      <alignment horizontal="right" vertical="top"/>
    </xf>
    <xf numFmtId="0" fontId="6" fillId="0" borderId="0" xfId="0" applyFont="1" applyAlignment="1">
      <alignment vertical="top"/>
    </xf>
    <xf numFmtId="0" fontId="6" fillId="0" borderId="0" xfId="0" applyFont="1" applyAlignment="1">
      <alignment horizontal="right" vertical="top"/>
    </xf>
    <xf numFmtId="0" fontId="0" fillId="0" borderId="7" xfId="0" applyBorder="1" applyAlignment="1">
      <alignment horizontal="right" indent="1"/>
    </xf>
    <xf numFmtId="0" fontId="0" fillId="0" borderId="0" xfId="0" applyAlignment="1">
      <alignment horizontal="center" vertical="top"/>
    </xf>
    <xf numFmtId="0" fontId="0" fillId="0" borderId="13" xfId="0" applyBorder="1" applyAlignment="1">
      <alignment horizontal="center" vertical="top"/>
    </xf>
    <xf numFmtId="164" fontId="0" fillId="0" borderId="0" xfId="0" applyNumberFormat="1"/>
    <xf numFmtId="0" fontId="0" fillId="0" borderId="0" xfId="0" applyAlignment="1">
      <alignment wrapText="1"/>
    </xf>
    <xf numFmtId="168" fontId="0" fillId="0" borderId="3" xfId="2" applyNumberFormat="1" applyFont="1" applyBorder="1" applyAlignment="1">
      <alignment vertical="top"/>
    </xf>
    <xf numFmtId="0" fontId="0" fillId="0" borderId="0" xfId="0" applyAlignment="1">
      <alignment horizontal="center" vertical="top" wrapText="1"/>
    </xf>
    <xf numFmtId="169" fontId="0" fillId="0" borderId="0" xfId="3" applyNumberFormat="1" applyFont="1"/>
    <xf numFmtId="164" fontId="0" fillId="4" borderId="0" xfId="0" applyNumberFormat="1" applyFill="1" applyAlignment="1">
      <alignment vertical="top"/>
    </xf>
    <xf numFmtId="0" fontId="0" fillId="0" borderId="19" xfId="0" applyBorder="1" applyAlignment="1">
      <alignment vertical="top"/>
    </xf>
    <xf numFmtId="0" fontId="0" fillId="0" borderId="19" xfId="0" applyBorder="1" applyAlignment="1">
      <alignment horizontal="center"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horizontal="right" vertical="top" wrapText="1"/>
    </xf>
    <xf numFmtId="0" fontId="16" fillId="0" borderId="0" xfId="0" applyFont="1" applyAlignment="1">
      <alignment vertical="top"/>
    </xf>
    <xf numFmtId="0" fontId="17" fillId="0" borderId="20" xfId="0" applyFont="1" applyBorder="1" applyAlignment="1">
      <alignment horizontal="right" vertical="top" wrapText="1"/>
    </xf>
    <xf numFmtId="164" fontId="0" fillId="0" borderId="20" xfId="0" applyNumberFormat="1" applyBorder="1" applyAlignment="1">
      <alignment vertical="top"/>
    </xf>
    <xf numFmtId="164" fontId="17" fillId="0" borderId="19" xfId="0" applyNumberFormat="1" applyFont="1" applyBorder="1" applyAlignment="1">
      <alignment vertical="top"/>
    </xf>
    <xf numFmtId="164" fontId="16" fillId="0" borderId="0" xfId="0" applyNumberFormat="1" applyFont="1" applyAlignment="1">
      <alignment vertical="top"/>
    </xf>
    <xf numFmtId="164" fontId="17" fillId="0" borderId="20" xfId="0" applyNumberFormat="1" applyFont="1" applyBorder="1" applyAlignment="1">
      <alignment vertical="top"/>
    </xf>
    <xf numFmtId="0" fontId="0" fillId="0" borderId="20" xfId="0" applyBorder="1" applyAlignment="1">
      <alignment vertical="top"/>
    </xf>
    <xf numFmtId="0" fontId="17" fillId="0" borderId="19" xfId="0" applyFont="1" applyBorder="1" applyAlignment="1">
      <alignment vertical="top"/>
    </xf>
    <xf numFmtId="164" fontId="17" fillId="0" borderId="0" xfId="0" applyNumberFormat="1" applyFont="1" applyAlignment="1">
      <alignment vertical="top"/>
    </xf>
    <xf numFmtId="0" fontId="17" fillId="0" borderId="20" xfId="0" applyFont="1" applyBorder="1" applyAlignment="1">
      <alignment vertical="top"/>
    </xf>
    <xf numFmtId="0" fontId="17" fillId="0" borderId="0" xfId="0" applyFont="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17" fillId="0" borderId="21" xfId="0" applyFont="1" applyBorder="1" applyAlignment="1">
      <alignment vertical="top"/>
    </xf>
    <xf numFmtId="0" fontId="17" fillId="0" borderId="22" xfId="0" applyFont="1" applyBorder="1" applyAlignment="1">
      <alignment vertical="top"/>
    </xf>
    <xf numFmtId="164" fontId="17" fillId="0" borderId="23" xfId="0" applyNumberFormat="1" applyFont="1" applyBorder="1" applyAlignment="1">
      <alignment vertical="top"/>
    </xf>
    <xf numFmtId="0" fontId="17" fillId="0" borderId="19" xfId="0" applyFont="1" applyBorder="1" applyAlignment="1">
      <alignment horizontal="right" vertical="top" wrapText="1"/>
    </xf>
    <xf numFmtId="0" fontId="0" fillId="0" borderId="5" xfId="0" applyBorder="1" applyAlignment="1">
      <alignment vertical="top"/>
    </xf>
    <xf numFmtId="0" fontId="0" fillId="0" borderId="24" xfId="0" applyBorder="1" applyAlignment="1">
      <alignment vertical="top"/>
    </xf>
    <xf numFmtId="10" fontId="18" fillId="0" borderId="0" xfId="3" applyNumberFormat="1" applyFont="1" applyBorder="1" applyAlignment="1">
      <alignment vertical="top"/>
    </xf>
    <xf numFmtId="10" fontId="18" fillId="0" borderId="13" xfId="3" applyNumberFormat="1" applyFont="1" applyBorder="1" applyAlignment="1">
      <alignment vertical="top"/>
    </xf>
    <xf numFmtId="0" fontId="0" fillId="5" borderId="24" xfId="0" applyFill="1" applyBorder="1" applyAlignment="1">
      <alignment vertical="top"/>
    </xf>
    <xf numFmtId="10" fontId="0" fillId="0" borderId="0" xfId="0" applyNumberFormat="1" applyAlignment="1">
      <alignment vertical="top"/>
    </xf>
    <xf numFmtId="10" fontId="0" fillId="0" borderId="13" xfId="0" applyNumberFormat="1" applyBorder="1" applyAlignment="1">
      <alignment vertical="top"/>
    </xf>
    <xf numFmtId="164" fontId="0" fillId="5" borderId="0" xfId="0" applyNumberFormat="1" applyFill="1" applyAlignment="1">
      <alignment vertical="top"/>
    </xf>
    <xf numFmtId="164" fontId="0" fillId="0" borderId="13" xfId="0" applyNumberFormat="1" applyBorder="1" applyAlignment="1">
      <alignment vertical="top"/>
    </xf>
    <xf numFmtId="0" fontId="0" fillId="5" borderId="25" xfId="0" applyFill="1" applyBorder="1" applyAlignment="1">
      <alignment vertical="top"/>
    </xf>
    <xf numFmtId="164" fontId="0" fillId="0" borderId="26" xfId="0" applyNumberFormat="1" applyBorder="1" applyAlignment="1">
      <alignment vertical="top"/>
    </xf>
    <xf numFmtId="164" fontId="0" fillId="5" borderId="26" xfId="0" applyNumberFormat="1" applyFill="1" applyBorder="1" applyAlignment="1">
      <alignment vertical="top"/>
    </xf>
    <xf numFmtId="0" fontId="0" fillId="0" borderId="26" xfId="0" applyBorder="1" applyAlignment="1">
      <alignment vertical="top"/>
    </xf>
    <xf numFmtId="0" fontId="0" fillId="5" borderId="26" xfId="0" applyFill="1" applyBorder="1" applyAlignment="1">
      <alignment vertical="top"/>
    </xf>
    <xf numFmtId="164" fontId="0" fillId="5" borderId="27" xfId="0" applyNumberFormat="1" applyFill="1" applyBorder="1" applyAlignment="1">
      <alignment vertical="top"/>
    </xf>
    <xf numFmtId="0" fontId="0" fillId="0" borderId="0" xfId="0" applyAlignment="1">
      <alignment vertical="top" wrapText="1"/>
    </xf>
    <xf numFmtId="164" fontId="0" fillId="0" borderId="0" xfId="0" applyNumberFormat="1" applyAlignment="1" applyProtection="1">
      <alignment vertical="center"/>
      <protection locked="0"/>
    </xf>
    <xf numFmtId="0" fontId="19" fillId="0" borderId="0" xfId="0" applyFont="1" applyAlignment="1">
      <alignment vertical="top"/>
    </xf>
    <xf numFmtId="0" fontId="0" fillId="0" borderId="2" xfId="0" applyBorder="1" applyAlignment="1">
      <alignment vertical="top"/>
    </xf>
    <xf numFmtId="164" fontId="0" fillId="0" borderId="3" xfId="0" applyNumberFormat="1" applyBorder="1" applyAlignment="1">
      <alignment vertical="top"/>
    </xf>
    <xf numFmtId="0" fontId="0" fillId="0" borderId="29" xfId="0" applyBorder="1" applyAlignment="1">
      <alignment vertical="center"/>
    </xf>
    <xf numFmtId="0" fontId="22" fillId="0" borderId="29" xfId="0" applyFont="1" applyBorder="1" applyAlignment="1">
      <alignment vertical="center"/>
    </xf>
    <xf numFmtId="0" fontId="23" fillId="0" borderId="29" xfId="0" applyFont="1" applyBorder="1" applyAlignment="1">
      <alignment vertical="center"/>
    </xf>
    <xf numFmtId="164" fontId="23" fillId="0" borderId="29" xfId="0" applyNumberFormat="1" applyFont="1" applyBorder="1" applyAlignment="1">
      <alignment vertical="center"/>
    </xf>
    <xf numFmtId="0" fontId="0" fillId="0" borderId="30" xfId="0" applyBorder="1" applyAlignment="1">
      <alignment vertical="center"/>
    </xf>
    <xf numFmtId="0" fontId="0" fillId="0" borderId="0" xfId="0" applyAlignment="1">
      <alignment vertical="center"/>
    </xf>
    <xf numFmtId="0" fontId="19" fillId="0" borderId="4" xfId="0" applyFont="1" applyBorder="1" applyAlignment="1">
      <alignment vertical="top"/>
    </xf>
    <xf numFmtId="0" fontId="19" fillId="0" borderId="5" xfId="0" applyFont="1" applyBorder="1" applyAlignment="1">
      <alignment vertical="top"/>
    </xf>
    <xf numFmtId="0" fontId="0" fillId="0" borderId="6" xfId="0" applyBorder="1" applyAlignment="1">
      <alignment vertical="top"/>
    </xf>
    <xf numFmtId="0" fontId="6" fillId="7" borderId="0" xfId="0" applyFont="1" applyFill="1" applyAlignment="1">
      <alignment vertical="top"/>
    </xf>
    <xf numFmtId="0" fontId="0" fillId="7" borderId="13" xfId="0" applyFill="1" applyBorder="1" applyAlignment="1">
      <alignment vertical="top"/>
    </xf>
    <xf numFmtId="0" fontId="21" fillId="0" borderId="31" xfId="0" applyFont="1" applyBorder="1" applyAlignment="1">
      <alignment vertical="top"/>
    </xf>
    <xf numFmtId="0" fontId="0" fillId="0" borderId="25" xfId="0" applyBorder="1" applyAlignment="1">
      <alignment vertical="top"/>
    </xf>
    <xf numFmtId="0" fontId="0" fillId="0" borderId="26" xfId="0" applyBorder="1" applyAlignment="1">
      <alignment horizontal="right" vertical="top"/>
    </xf>
    <xf numFmtId="164" fontId="16" fillId="0" borderId="27" xfId="0" applyNumberFormat="1" applyFont="1" applyBorder="1" applyAlignment="1">
      <alignment vertical="top"/>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164" fontId="0" fillId="0" borderId="8" xfId="0" applyNumberFormat="1" applyBorder="1" applyAlignment="1">
      <alignment vertical="top"/>
    </xf>
    <xf numFmtId="164" fontId="0" fillId="0" borderId="10" xfId="0" applyNumberFormat="1" applyBorder="1" applyAlignment="1">
      <alignment vertical="top"/>
    </xf>
    <xf numFmtId="164" fontId="0" fillId="0" borderId="11" xfId="0" applyNumberFormat="1" applyBorder="1" applyAlignment="1">
      <alignment vertical="top"/>
    </xf>
    <xf numFmtId="164" fontId="0" fillId="0" borderId="37" xfId="0" applyNumberFormat="1" applyBorder="1" applyAlignment="1">
      <alignment vertical="top"/>
    </xf>
    <xf numFmtId="164" fontId="0" fillId="0" borderId="38" xfId="0" applyNumberFormat="1" applyBorder="1" applyAlignment="1">
      <alignment vertical="top"/>
    </xf>
    <xf numFmtId="0" fontId="20" fillId="7" borderId="0" xfId="0" applyFont="1" applyFill="1" applyAlignment="1" applyProtection="1">
      <alignment vertical="top"/>
      <protection locked="0"/>
    </xf>
    <xf numFmtId="0" fontId="0" fillId="0" borderId="37" xfId="0" applyBorder="1" applyAlignment="1" applyProtection="1">
      <alignment vertical="top"/>
      <protection locked="0"/>
    </xf>
    <xf numFmtId="0" fontId="20" fillId="7" borderId="37" xfId="0" applyFont="1" applyFill="1" applyBorder="1" applyAlignment="1" applyProtection="1">
      <alignment vertical="top" wrapText="1"/>
      <protection locked="0"/>
    </xf>
    <xf numFmtId="0" fontId="0" fillId="0" borderId="3" xfId="0" applyBorder="1" applyAlignment="1" applyProtection="1">
      <alignment vertical="top"/>
      <protection locked="0"/>
    </xf>
    <xf numFmtId="0" fontId="20" fillId="7" borderId="3" xfId="0" applyFont="1" applyFill="1" applyBorder="1" applyAlignment="1" applyProtection="1">
      <alignment vertical="top" wrapText="1"/>
      <protection locked="0"/>
    </xf>
    <xf numFmtId="0" fontId="0" fillId="0" borderId="10" xfId="0" applyBorder="1" applyAlignment="1" applyProtection="1">
      <alignment vertical="top"/>
      <protection locked="0"/>
    </xf>
    <xf numFmtId="0" fontId="20" fillId="7" borderId="10" xfId="0" applyFont="1" applyFill="1" applyBorder="1" applyAlignment="1" applyProtection="1">
      <alignment vertical="top" wrapText="1"/>
      <protection locked="0"/>
    </xf>
    <xf numFmtId="164" fontId="0" fillId="4" borderId="0" xfId="0" applyNumberFormat="1" applyFill="1" applyAlignment="1" applyProtection="1">
      <alignment horizontal="center" vertical="top" wrapText="1"/>
      <protection locked="0"/>
    </xf>
    <xf numFmtId="0" fontId="24" fillId="0" borderId="28" xfId="0" applyFont="1" applyBorder="1" applyAlignment="1">
      <alignment vertical="center"/>
    </xf>
    <xf numFmtId="170" fontId="0" fillId="0" borderId="36" xfId="0" applyNumberFormat="1" applyBorder="1" applyAlignment="1" applyProtection="1">
      <alignment vertical="top"/>
      <protection locked="0"/>
    </xf>
    <xf numFmtId="170" fontId="0" fillId="0" borderId="7" xfId="0" applyNumberFormat="1" applyBorder="1" applyAlignment="1" applyProtection="1">
      <alignment vertical="top"/>
      <protection locked="0"/>
    </xf>
    <xf numFmtId="170" fontId="0" fillId="0" borderId="9" xfId="0" applyNumberFormat="1" applyBorder="1" applyAlignment="1" applyProtection="1">
      <alignment vertical="top"/>
      <protection locked="0"/>
    </xf>
    <xf numFmtId="0" fontId="0" fillId="0" borderId="0" xfId="0" quotePrefix="1" applyAlignment="1">
      <alignment horizontal="right"/>
    </xf>
    <xf numFmtId="164" fontId="25" fillId="0" borderId="0" xfId="0" applyNumberFormat="1" applyFont="1" applyProtection="1">
      <protection locked="0"/>
    </xf>
    <xf numFmtId="0" fontId="7" fillId="0" borderId="0" xfId="0" applyFont="1" applyAlignment="1">
      <alignment vertical="top"/>
    </xf>
    <xf numFmtId="164" fontId="27" fillId="0" borderId="42" xfId="0" applyNumberFormat="1" applyFont="1" applyBorder="1" applyAlignment="1">
      <alignment vertical="center"/>
    </xf>
    <xf numFmtId="164" fontId="16" fillId="0" borderId="0" xfId="0" applyNumberFormat="1" applyFont="1" applyAlignment="1">
      <alignment vertical="center"/>
    </xf>
    <xf numFmtId="0" fontId="6" fillId="0" borderId="0" xfId="0" applyFont="1" applyAlignment="1" applyProtection="1">
      <alignment horizontal="center" vertical="top"/>
      <protection locked="0"/>
    </xf>
    <xf numFmtId="0" fontId="0" fillId="3" borderId="0" xfId="0" applyFill="1" applyAlignment="1">
      <alignment horizontal="center" vertical="center" textRotation="90"/>
    </xf>
    <xf numFmtId="44" fontId="5" fillId="3" borderId="0" xfId="2" applyFill="1" applyAlignment="1">
      <alignment horizontal="center" vertical="center" textRotation="90"/>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7" fillId="0" borderId="49"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8" fillId="0" borderId="50" xfId="0" applyFont="1" applyBorder="1" applyAlignment="1">
      <alignment horizontal="center" vertical="center"/>
    </xf>
    <xf numFmtId="0" fontId="28" fillId="0" borderId="48" xfId="0" applyFont="1" applyBorder="1" applyAlignment="1">
      <alignment horizontal="center" vertical="center"/>
    </xf>
    <xf numFmtId="0" fontId="28" fillId="0" borderId="51" xfId="0" applyFont="1" applyBorder="1" applyAlignment="1">
      <alignment horizontal="center" vertical="center"/>
    </xf>
    <xf numFmtId="0" fontId="27" fillId="0" borderId="49"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6" fillId="0" borderId="40" xfId="0" applyFont="1" applyBorder="1" applyAlignment="1">
      <alignment horizontal="right" vertical="center"/>
    </xf>
    <xf numFmtId="0" fontId="26" fillId="0" borderId="39" xfId="0" applyFont="1" applyBorder="1" applyAlignment="1">
      <alignment horizontal="right" vertical="center"/>
    </xf>
    <xf numFmtId="0" fontId="26" fillId="0" borderId="40" xfId="0" applyFont="1" applyBorder="1" applyAlignment="1">
      <alignment horizontal="right" vertical="center" wrapText="1"/>
    </xf>
    <xf numFmtId="0" fontId="26" fillId="0" borderId="39" xfId="0" applyFont="1" applyBorder="1" applyAlignment="1">
      <alignment horizontal="right" vertical="center" wrapText="1"/>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0" fillId="0" borderId="33" xfId="0" applyBorder="1" applyAlignment="1">
      <alignment horizontal="center" vertical="top" wrapText="1"/>
    </xf>
    <xf numFmtId="0" fontId="0" fillId="0" borderId="33" xfId="0" applyBorder="1" applyAlignment="1">
      <alignment horizontal="left" vertical="top" wrapText="1"/>
    </xf>
    <xf numFmtId="14" fontId="0" fillId="0" borderId="37" xfId="0" applyNumberFormat="1" applyBorder="1" applyAlignment="1" applyProtection="1">
      <alignment horizontal="left" vertical="top"/>
      <protection locked="0"/>
    </xf>
    <xf numFmtId="14" fontId="0" fillId="0" borderId="3" xfId="0" applyNumberFormat="1" applyBorder="1" applyAlignment="1" applyProtection="1">
      <alignment horizontal="left" vertical="top"/>
      <protection locked="0"/>
    </xf>
    <xf numFmtId="0" fontId="0" fillId="0" borderId="35" xfId="0" applyBorder="1" applyAlignment="1">
      <alignment horizontal="center" vertical="top"/>
    </xf>
    <xf numFmtId="14" fontId="0" fillId="0" borderId="10" xfId="0" applyNumberFormat="1" applyBorder="1" applyAlignment="1" applyProtection="1">
      <alignment horizontal="left" vertical="top"/>
      <protection locked="0"/>
    </xf>
    <xf numFmtId="17" fontId="0" fillId="0" borderId="2" xfId="0" quotePrefix="1" applyNumberForma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26" xfId="0" applyBorder="1" applyAlignment="1">
      <alignment horizontal="left" vertical="top"/>
    </xf>
    <xf numFmtId="0" fontId="6" fillId="0" borderId="0" xfId="0" applyFont="1" applyAlignment="1" applyProtection="1">
      <alignment horizontal="center" vertical="top" wrapText="1"/>
      <protection locked="0"/>
    </xf>
    <xf numFmtId="0" fontId="8" fillId="4" borderId="0" xfId="0" applyFont="1" applyFill="1" applyAlignment="1">
      <alignment horizontal="center" vertical="top" wrapText="1"/>
    </xf>
    <xf numFmtId="0" fontId="8" fillId="4" borderId="0" xfId="0" applyFont="1" applyFill="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17" fillId="0" borderId="16" xfId="0" applyFont="1" applyBorder="1" applyAlignment="1">
      <alignment horizontal="center" vertical="top"/>
    </xf>
    <xf numFmtId="0" fontId="17" fillId="0" borderId="17" xfId="0" applyFont="1" applyBorder="1" applyAlignment="1">
      <alignment horizontal="center" vertical="top"/>
    </xf>
    <xf numFmtId="0" fontId="17" fillId="0" borderId="18" xfId="0" applyFont="1" applyBorder="1" applyAlignment="1">
      <alignment horizontal="center" vertical="top"/>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4" xfId="0" applyFont="1" applyBorder="1" applyAlignment="1">
      <alignment horizontal="left" vertical="top" wrapText="1"/>
    </xf>
    <xf numFmtId="0" fontId="0" fillId="7" borderId="0" xfId="0" applyFill="1" applyAlignment="1">
      <alignment horizontal="center" vertical="center" textRotation="90"/>
    </xf>
    <xf numFmtId="0" fontId="0" fillId="6" borderId="0" xfId="0" applyFill="1" applyAlignment="1">
      <alignment horizontal="center" vertical="center" textRotation="90"/>
    </xf>
    <xf numFmtId="44" fontId="5" fillId="6" borderId="0" xfId="2" applyFill="1" applyAlignment="1">
      <alignment horizontal="center" vertical="center" textRotation="90"/>
    </xf>
    <xf numFmtId="0" fontId="0" fillId="6" borderId="0" xfId="0" applyFill="1" applyAlignment="1">
      <alignment horizontal="center" vertical="center" textRotation="90" wrapText="1"/>
    </xf>
    <xf numFmtId="0" fontId="0" fillId="7" borderId="0" xfId="0" applyFill="1" applyAlignment="1">
      <alignment horizontal="center" vertical="center" textRotation="90" wrapText="1"/>
    </xf>
    <xf numFmtId="0" fontId="29" fillId="0" borderId="29" xfId="0" applyFont="1" applyBorder="1" applyAlignment="1">
      <alignment vertical="center"/>
    </xf>
    <xf numFmtId="0" fontId="32" fillId="0" borderId="0" xfId="0" applyFont="1"/>
    <xf numFmtId="0" fontId="32" fillId="0" borderId="0" xfId="0" applyFont="1" applyAlignment="1">
      <alignment horizontal="left"/>
    </xf>
    <xf numFmtId="0" fontId="0" fillId="0" borderId="3" xfId="0" applyBorder="1"/>
    <xf numFmtId="0" fontId="32" fillId="0" borderId="0" xfId="0" applyFont="1" applyAlignment="1">
      <alignment vertical="top"/>
    </xf>
    <xf numFmtId="0" fontId="31" fillId="0" borderId="52" xfId="0" applyFont="1" applyBorder="1" applyAlignment="1">
      <alignment horizontal="right"/>
    </xf>
    <xf numFmtId="0" fontId="31" fillId="0" borderId="53" xfId="0" applyFont="1" applyBorder="1"/>
    <xf numFmtId="0" fontId="0" fillId="0" borderId="53" xfId="0" applyBorder="1"/>
    <xf numFmtId="0" fontId="0" fillId="0" borderId="54" xfId="0" applyBorder="1"/>
    <xf numFmtId="0" fontId="0" fillId="0" borderId="55" xfId="0" applyBorder="1"/>
    <xf numFmtId="0" fontId="0" fillId="0" borderId="57" xfId="0" applyBorder="1"/>
    <xf numFmtId="0" fontId="0" fillId="0" borderId="58" xfId="0" applyBorder="1"/>
    <xf numFmtId="0" fontId="30" fillId="0" borderId="12" xfId="0" applyFont="1" applyBorder="1" applyAlignment="1">
      <alignment vertical="top"/>
    </xf>
    <xf numFmtId="0" fontId="30" fillId="0" borderId="56" xfId="0" applyFont="1" applyBorder="1" applyAlignment="1">
      <alignment vertical="top"/>
    </xf>
  </cellXfs>
  <cellStyles count="5">
    <cellStyle name="Prozent" xfId="3" builtinId="5"/>
    <cellStyle name="Standard" xfId="0" builtinId="0"/>
    <cellStyle name="Standard 2" xfId="1" xr:uid="{00000000-0005-0000-0000-000002000000}"/>
    <cellStyle name="Standard 3" xfId="4" xr:uid="{CA2AF250-9B4B-4AA4-BCB4-D89616B36B0E}"/>
    <cellStyle name="Währung" xfId="2" builtinId="4"/>
  </cellStyles>
  <dxfs count="14">
    <dxf>
      <font>
        <condense val="0"/>
        <extend val="0"/>
        <color indexed="8"/>
      </font>
    </dxf>
    <dxf>
      <font>
        <condense val="0"/>
        <extend val="0"/>
        <color indexed="18"/>
      </font>
    </dxf>
    <dxf>
      <font>
        <condense val="0"/>
        <extend val="0"/>
        <color indexed="47"/>
      </font>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41329</xdr:rowOff>
    </xdr:from>
    <xdr:to>
      <xdr:col>7</xdr:col>
      <xdr:colOff>838200</xdr:colOff>
      <xdr:row>1</xdr:row>
      <xdr:rowOff>523874</xdr:rowOff>
    </xdr:to>
    <xdr:pic>
      <xdr:nvPicPr>
        <xdr:cNvPr id="3" name="Grafik 2">
          <a:extLst>
            <a:ext uri="{FF2B5EF4-FFF2-40B4-BE49-F238E27FC236}">
              <a16:creationId xmlns:a16="http://schemas.microsoft.com/office/drawing/2014/main" id="{29F86F0E-F24D-45F6-B92F-977EA4FD5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5175" y="41329"/>
          <a:ext cx="504825" cy="71114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3695E-ED0B-4B6B-AFF5-DFE9498DFB65}">
  <dimension ref="A1:AP24"/>
  <sheetViews>
    <sheetView zoomScaleNormal="100" workbookViewId="0">
      <pane xSplit="3" ySplit="1" topLeftCell="Z2" activePane="bottomRight" state="frozen"/>
      <selection pane="topRight" activeCell="D1" sqref="D1"/>
      <selection pane="bottomLeft" activeCell="A2" sqref="A2"/>
      <selection pane="bottomRight" activeCell="AS19" sqref="AS19"/>
    </sheetView>
  </sheetViews>
  <sheetFormatPr baseColWidth="10" defaultColWidth="11.5703125" defaultRowHeight="15" x14ac:dyDescent="0.25"/>
  <cols>
    <col min="1" max="1" width="5.28515625" style="1" customWidth="1"/>
    <col min="2" max="2" width="30.42578125" style="1" customWidth="1"/>
    <col min="3" max="3" width="12" style="1" bestFit="1" customWidth="1"/>
    <col min="4" max="4" width="18.140625" style="1" customWidth="1"/>
    <col min="5" max="5" width="11.5703125" style="1"/>
    <col min="6" max="6" width="4" style="1" customWidth="1"/>
    <col min="7" max="7" width="18.140625" style="1" customWidth="1"/>
    <col min="8" max="8" width="11.5703125" style="1"/>
    <col min="9" max="9" width="4" style="1" customWidth="1"/>
    <col min="10" max="10" width="18.140625" style="1" customWidth="1"/>
    <col min="11" max="11" width="11.5703125" style="1"/>
    <col min="12" max="12" width="4" style="1" customWidth="1"/>
    <col min="13" max="13" width="18.140625" style="1" customWidth="1"/>
    <col min="14" max="14" width="11.5703125" style="1"/>
    <col min="15" max="15" width="4" style="1" customWidth="1"/>
    <col min="16" max="16" width="18.140625" style="1" customWidth="1"/>
    <col min="17" max="17" width="11.5703125" style="1"/>
    <col min="18" max="18" width="4" style="1" customWidth="1"/>
    <col min="19" max="19" width="18.140625" style="1" customWidth="1"/>
    <col min="20" max="20" width="11.5703125" style="1"/>
    <col min="21" max="21" width="4" style="1" customWidth="1"/>
    <col min="22" max="22" width="18.140625" style="1" customWidth="1"/>
    <col min="23" max="23" width="11.5703125" style="1"/>
    <col min="24" max="24" width="4" style="1" customWidth="1"/>
    <col min="25" max="25" width="18.140625" style="1" customWidth="1"/>
    <col min="26" max="26" width="11.5703125" style="1"/>
    <col min="27" max="27" width="4" style="1" customWidth="1"/>
    <col min="28" max="28" width="18.140625" style="1" customWidth="1"/>
    <col min="29" max="29" width="11.5703125" style="1"/>
    <col min="30" max="30" width="4" style="1" customWidth="1"/>
    <col min="31" max="31" width="18.140625" style="1" customWidth="1"/>
    <col min="32" max="32" width="11.5703125" style="1"/>
    <col min="33" max="33" width="4" style="1" customWidth="1"/>
    <col min="34" max="34" width="18.140625" style="1" customWidth="1"/>
    <col min="35" max="35" width="11.5703125" style="1"/>
    <col min="36" max="36" width="4" style="1" customWidth="1"/>
    <col min="37" max="37" width="18.140625" style="1" customWidth="1"/>
    <col min="38" max="38" width="11.5703125" style="1"/>
    <col min="39" max="39" width="4" style="1" customWidth="1"/>
    <col min="40" max="40" width="18.140625" style="1" customWidth="1"/>
    <col min="41" max="41" width="11.5703125" style="1"/>
    <col min="42" max="42" width="4" style="1" customWidth="1"/>
    <col min="43" max="16384" width="11.5703125" style="1"/>
  </cols>
  <sheetData>
    <row r="1" spans="1:42" x14ac:dyDescent="0.25">
      <c r="D1" s="167" t="s">
        <v>0</v>
      </c>
      <c r="E1" s="167"/>
      <c r="F1" s="5"/>
      <c r="G1" s="167" t="s">
        <v>1</v>
      </c>
      <c r="H1" s="167"/>
      <c r="I1" s="5"/>
      <c r="J1" s="167" t="s">
        <v>2</v>
      </c>
      <c r="K1" s="167"/>
      <c r="L1" s="5"/>
      <c r="M1" s="167" t="s">
        <v>3</v>
      </c>
      <c r="N1" s="167"/>
      <c r="O1" s="5"/>
      <c r="P1" s="167" t="s">
        <v>4</v>
      </c>
      <c r="Q1" s="167"/>
      <c r="R1" s="5"/>
      <c r="S1" s="167" t="s">
        <v>5</v>
      </c>
      <c r="T1" s="167"/>
      <c r="U1" s="5"/>
      <c r="V1" s="167" t="s">
        <v>6</v>
      </c>
      <c r="W1" s="167"/>
      <c r="X1" s="5"/>
      <c r="Y1" s="167" t="s">
        <v>7</v>
      </c>
      <c r="Z1" s="167"/>
      <c r="AA1" s="5"/>
      <c r="AB1" s="167" t="s">
        <v>8</v>
      </c>
      <c r="AC1" s="167"/>
      <c r="AD1" s="5"/>
      <c r="AE1" s="167" t="s">
        <v>9</v>
      </c>
      <c r="AF1" s="167"/>
      <c r="AG1" s="5"/>
      <c r="AH1" s="167" t="s">
        <v>10</v>
      </c>
      <c r="AI1" s="167"/>
      <c r="AJ1" s="5"/>
      <c r="AK1" s="167" t="s">
        <v>11</v>
      </c>
      <c r="AL1" s="167"/>
      <c r="AM1" s="5"/>
      <c r="AN1" s="167" t="s">
        <v>12</v>
      </c>
      <c r="AO1" s="167"/>
      <c r="AP1" s="5"/>
    </row>
    <row r="2" spans="1:42" x14ac:dyDescent="0.25">
      <c r="B2" s="1" t="str">
        <f>+Vorgabe_ab_2023!A3</f>
        <v>1. Ausbildung</v>
      </c>
      <c r="D2" s="2" t="s">
        <v>13</v>
      </c>
      <c r="E2" s="3">
        <f>VLOOKUP(D2,Vorgabe_ab_2023!$A$5:$D$10,2)</f>
        <v>4.5</v>
      </c>
      <c r="F2" s="5"/>
      <c r="G2" s="2" t="s">
        <v>13</v>
      </c>
      <c r="H2" s="3">
        <f>VLOOKUP(G2,Vorgabe_ab_2023!$A$5:$D$10,2)</f>
        <v>4.5</v>
      </c>
      <c r="I2" s="5"/>
      <c r="J2" s="2" t="s">
        <v>13</v>
      </c>
      <c r="K2" s="3">
        <f>VLOOKUP(J2,Vorgabe_ab_2023!$A$5:$D$10,2)</f>
        <v>4.5</v>
      </c>
      <c r="L2" s="5"/>
      <c r="M2" s="2" t="s">
        <v>13</v>
      </c>
      <c r="N2" s="3">
        <f>VLOOKUP(M2,Vorgabe_ab_2023!$A$5:$D$10,2)</f>
        <v>4.5</v>
      </c>
      <c r="O2" s="5"/>
      <c r="P2" s="2" t="s">
        <v>13</v>
      </c>
      <c r="Q2" s="3">
        <f>VLOOKUP(P2,Vorgabe_ab_2023!$A$5:$D$10,2)</f>
        <v>4.5</v>
      </c>
      <c r="R2" s="5"/>
      <c r="S2" s="2" t="s">
        <v>13</v>
      </c>
      <c r="T2" s="3">
        <f>VLOOKUP(S2,Vorgabe_ab_2023!$A$5:$D$10,2)</f>
        <v>4.5</v>
      </c>
      <c r="U2" s="5"/>
      <c r="V2" s="2" t="s">
        <v>13</v>
      </c>
      <c r="W2" s="3">
        <f>VLOOKUP(V2,Vorgabe_ab_2023!$A$5:$D$10,2)</f>
        <v>4.5</v>
      </c>
      <c r="X2" s="5"/>
      <c r="Y2" s="2" t="s">
        <v>13</v>
      </c>
      <c r="Z2" s="3">
        <f>VLOOKUP(Y2,Vorgabe_ab_2023!$A$5:$D$10,2)</f>
        <v>4.5</v>
      </c>
      <c r="AA2" s="5"/>
      <c r="AB2" s="2" t="s">
        <v>13</v>
      </c>
      <c r="AC2" s="3">
        <f>VLOOKUP(AB2,Vorgabe_ab_2023!$A$5:$D$10,2)</f>
        <v>4.5</v>
      </c>
      <c r="AD2" s="5"/>
      <c r="AE2" s="2" t="s">
        <v>13</v>
      </c>
      <c r="AF2" s="3">
        <f>VLOOKUP(AE2,Vorgabe_ab_2023!$A$5:$D$10,2)</f>
        <v>4.5</v>
      </c>
      <c r="AG2" s="5"/>
      <c r="AH2" s="2" t="s">
        <v>14</v>
      </c>
      <c r="AI2" s="3" t="e">
        <f>VLOOKUP(AH2,Vorgabe_ab_2023!$A$5:$D$10,2)</f>
        <v>#N/A</v>
      </c>
      <c r="AJ2" s="5"/>
      <c r="AK2" s="2" t="s">
        <v>14</v>
      </c>
      <c r="AL2" s="3" t="e">
        <f>VLOOKUP(AK2,Vorgabe_ab_2023!$A$5:$D$10,2)</f>
        <v>#N/A</v>
      </c>
      <c r="AM2" s="5"/>
      <c r="AN2" s="2" t="s">
        <v>14</v>
      </c>
      <c r="AO2" s="3" t="e">
        <f>VLOOKUP(AN2,Vorgabe_ab_2023!$A$5:$D$10,2)</f>
        <v>#N/A</v>
      </c>
      <c r="AP2" s="5"/>
    </row>
    <row r="3" spans="1:42" x14ac:dyDescent="0.25">
      <c r="B3" s="1" t="str">
        <f>+Vorgabe_ab_2023!A13</f>
        <v>2. gültige Lizenz</v>
      </c>
      <c r="D3" s="2" t="s">
        <v>15</v>
      </c>
      <c r="E3" s="3">
        <f>VLOOKUP(D3,Vorgabe_ab_2023!$A$14:$D$15,2)</f>
        <v>0</v>
      </c>
      <c r="F3" s="5"/>
      <c r="G3" s="2" t="s">
        <v>15</v>
      </c>
      <c r="H3" s="3">
        <f>VLOOKUP(G3,Vorgabe_ab_2023!$A$14:$D$15,2)</f>
        <v>0</v>
      </c>
      <c r="I3" s="5"/>
      <c r="J3" s="2" t="s">
        <v>16</v>
      </c>
      <c r="K3" s="3">
        <f>VLOOKUP(J3,Vorgabe_ab_2023!$A$14:$D$15,2)</f>
        <v>1.5</v>
      </c>
      <c r="L3" s="5"/>
      <c r="M3" s="2" t="s">
        <v>16</v>
      </c>
      <c r="N3" s="3">
        <f>VLOOKUP(M3,Vorgabe_ab_2023!$A$14:$D$15,2)</f>
        <v>1.5</v>
      </c>
      <c r="O3" s="5"/>
      <c r="P3" s="2" t="s">
        <v>16</v>
      </c>
      <c r="Q3" s="3">
        <f>VLOOKUP(P3,Vorgabe_ab_2023!$A$14:$D$15,2)</f>
        <v>1.5</v>
      </c>
      <c r="R3" s="5"/>
      <c r="S3" s="2" t="s">
        <v>16</v>
      </c>
      <c r="T3" s="3">
        <f>VLOOKUP(S3,Vorgabe_ab_2023!$A$14:$D$15,2)</f>
        <v>1.5</v>
      </c>
      <c r="U3" s="5"/>
      <c r="V3" s="2" t="s">
        <v>16</v>
      </c>
      <c r="W3" s="3">
        <f>VLOOKUP(V3,Vorgabe_ab_2023!$A$14:$D$15,2)</f>
        <v>1.5</v>
      </c>
      <c r="X3" s="5"/>
      <c r="Y3" s="2" t="s">
        <v>16</v>
      </c>
      <c r="Z3" s="3">
        <f>VLOOKUP(Y3,Vorgabe_ab_2023!$A$14:$D$15,2)</f>
        <v>1.5</v>
      </c>
      <c r="AA3" s="5"/>
      <c r="AB3" s="2" t="s">
        <v>15</v>
      </c>
      <c r="AC3" s="3">
        <f>VLOOKUP(AB3,Vorgabe_ab_2023!$A$14:$D$15,2)</f>
        <v>0</v>
      </c>
      <c r="AD3" s="5"/>
      <c r="AE3" s="2" t="s">
        <v>16</v>
      </c>
      <c r="AF3" s="3">
        <f>VLOOKUP(AE3,Vorgabe_ab_2023!$A$14:$D$15,2)</f>
        <v>1.5</v>
      </c>
      <c r="AG3" s="5"/>
      <c r="AH3" s="2" t="s">
        <v>15</v>
      </c>
      <c r="AI3" s="3">
        <f>VLOOKUP(AH3,Vorgabe_ab_2023!$A$14:$D$15,2)</f>
        <v>0</v>
      </c>
      <c r="AJ3" s="5"/>
      <c r="AK3" s="2" t="s">
        <v>15</v>
      </c>
      <c r="AL3" s="3">
        <f>VLOOKUP(AK3,Vorgabe_ab_2023!$A$14:$D$15,2)</f>
        <v>0</v>
      </c>
      <c r="AM3" s="5"/>
      <c r="AN3" s="2" t="s">
        <v>15</v>
      </c>
      <c r="AO3" s="3">
        <f>VLOOKUP(AN3,Vorgabe_ab_2023!$A$14:$D$15,2)</f>
        <v>0</v>
      </c>
      <c r="AP3" s="5"/>
    </row>
    <row r="4" spans="1:42" x14ac:dyDescent="0.25">
      <c r="B4" s="1" t="str">
        <f>+Vorgabe_ab_2023!A18</f>
        <v>3. Erfahrung</v>
      </c>
      <c r="D4" s="2" t="s">
        <v>17</v>
      </c>
      <c r="E4" s="3">
        <f>VLOOKUP(D4,Vorgabe_ab_2023!$A$19:$D$22,2)</f>
        <v>2</v>
      </c>
      <c r="F4" s="5"/>
      <c r="G4" s="2" t="s">
        <v>17</v>
      </c>
      <c r="H4" s="3">
        <f>VLOOKUP(G4,Vorgabe_ab_2023!$A$19:$D$22,2)</f>
        <v>2</v>
      </c>
      <c r="I4" s="5"/>
      <c r="J4" s="2" t="s">
        <v>17</v>
      </c>
      <c r="K4" s="3">
        <f>VLOOKUP(J4,Vorgabe_ab_2023!$A$19:$D$22,2)</f>
        <v>2</v>
      </c>
      <c r="L4" s="5"/>
      <c r="M4" s="2" t="s">
        <v>17</v>
      </c>
      <c r="N4" s="3">
        <f>VLOOKUP(M4,Vorgabe_ab_2023!$A$19:$D$22,2)</f>
        <v>2</v>
      </c>
      <c r="O4" s="5"/>
      <c r="P4" s="2" t="s">
        <v>18</v>
      </c>
      <c r="Q4" s="3">
        <f>VLOOKUP(P4,Vorgabe_ab_2023!$A$19:$D$22,2)</f>
        <v>1.5</v>
      </c>
      <c r="R4" s="5"/>
      <c r="S4" s="2" t="s">
        <v>17</v>
      </c>
      <c r="T4" s="3">
        <f>VLOOKUP(S4,Vorgabe_ab_2023!$A$19:$D$22,2)</f>
        <v>2</v>
      </c>
      <c r="U4" s="5"/>
      <c r="V4" s="2" t="s">
        <v>17</v>
      </c>
      <c r="W4" s="3">
        <f>VLOOKUP(V4,Vorgabe_ab_2023!$A$19:$D$22,2)</f>
        <v>2</v>
      </c>
      <c r="X4" s="5"/>
      <c r="Y4" s="2" t="s">
        <v>18</v>
      </c>
      <c r="Z4" s="3">
        <f>VLOOKUP(Y4,Vorgabe_ab_2023!$A$19:$D$22,2)</f>
        <v>1.5</v>
      </c>
      <c r="AA4" s="5"/>
      <c r="AB4" s="2" t="s">
        <v>18</v>
      </c>
      <c r="AC4" s="3">
        <f>VLOOKUP(AB4,Vorgabe_ab_2023!$A$19:$D$22,2)</f>
        <v>1.5</v>
      </c>
      <c r="AD4" s="5"/>
      <c r="AE4" s="2" t="s">
        <v>19</v>
      </c>
      <c r="AF4" s="3">
        <f>VLOOKUP(AE4,Vorgabe_ab_2023!$A$19:$D$22,2)</f>
        <v>1</v>
      </c>
      <c r="AG4" s="5"/>
      <c r="AH4" s="2" t="s">
        <v>20</v>
      </c>
      <c r="AI4" s="3">
        <f>VLOOKUP(AH4,Vorgabe_ab_2023!$A$19:$D$22,2)</f>
        <v>0.5</v>
      </c>
      <c r="AJ4" s="5"/>
      <c r="AK4" s="2" t="s">
        <v>20</v>
      </c>
      <c r="AL4" s="3">
        <f>VLOOKUP(AK4,Vorgabe_ab_2023!$A$19:$D$22,2)</f>
        <v>0.5</v>
      </c>
      <c r="AM4" s="5"/>
      <c r="AN4" s="2" t="s">
        <v>20</v>
      </c>
      <c r="AO4" s="3">
        <f>VLOOKUP(AN4,Vorgabe_ab_2023!$A$19:$D$22,2)</f>
        <v>0.5</v>
      </c>
      <c r="AP4" s="5"/>
    </row>
    <row r="5" spans="1:42" x14ac:dyDescent="0.25">
      <c r="B5" s="1" t="str">
        <f>+Vorgabe_ab_2023!A25</f>
        <v>4. Gruppengröße</v>
      </c>
      <c r="D5" s="2" t="s">
        <v>21</v>
      </c>
      <c r="E5" s="3">
        <f>VLOOKUP(D5,Vorgabe_ab_2023!$A$26:$D$30,2)</f>
        <v>2.5</v>
      </c>
      <c r="F5" s="5"/>
      <c r="G5" s="2" t="s">
        <v>22</v>
      </c>
      <c r="H5" s="3">
        <f>VLOOKUP(G5,Vorgabe_ab_2023!$A$26:$D$30,2)</f>
        <v>2</v>
      </c>
      <c r="I5" s="5"/>
      <c r="J5" s="2" t="s">
        <v>22</v>
      </c>
      <c r="K5" s="3">
        <f>VLOOKUP(J5,Vorgabe_ab_2023!$A$26:$D$30,2)</f>
        <v>2</v>
      </c>
      <c r="L5" s="5"/>
      <c r="M5" s="2" t="s">
        <v>23</v>
      </c>
      <c r="N5" s="3">
        <f>VLOOKUP(M5,Vorgabe_ab_2023!$A$26:$D$30,2)</f>
        <v>1</v>
      </c>
      <c r="O5" s="5"/>
      <c r="P5" s="2" t="s">
        <v>23</v>
      </c>
      <c r="Q5" s="3">
        <f>VLOOKUP(P5,Vorgabe_ab_2023!$A$26:$D$30,2)</f>
        <v>1</v>
      </c>
      <c r="R5" s="5"/>
      <c r="S5" s="2" t="s">
        <v>22</v>
      </c>
      <c r="T5" s="3">
        <f>VLOOKUP(S5,Vorgabe_ab_2023!$A$26:$D$30,2)</f>
        <v>2</v>
      </c>
      <c r="U5" s="5"/>
      <c r="V5" s="2" t="s">
        <v>22</v>
      </c>
      <c r="W5" s="3">
        <f>VLOOKUP(V5,Vorgabe_ab_2023!$A$26:$D$30,2)</f>
        <v>2</v>
      </c>
      <c r="X5" s="5"/>
      <c r="Y5" s="2" t="s">
        <v>23</v>
      </c>
      <c r="Z5" s="3">
        <f>VLOOKUP(Y5,Vorgabe_ab_2023!$A$26:$D$30,2)</f>
        <v>1</v>
      </c>
      <c r="AA5" s="5"/>
      <c r="AB5" s="2" t="s">
        <v>22</v>
      </c>
      <c r="AC5" s="3">
        <f>VLOOKUP(AB5,Vorgabe_ab_2023!$A$26:$D$30,2)</f>
        <v>2</v>
      </c>
      <c r="AD5" s="5"/>
      <c r="AE5" s="2" t="s">
        <v>23</v>
      </c>
      <c r="AF5" s="3">
        <f>VLOOKUP(AE5,Vorgabe_ab_2023!$A$26:$D$30,2)</f>
        <v>1</v>
      </c>
      <c r="AG5" s="5"/>
      <c r="AH5" s="2" t="s">
        <v>23</v>
      </c>
      <c r="AI5" s="3">
        <f>VLOOKUP(AH5,Vorgabe_ab_2023!$A$26:$D$30,2)</f>
        <v>1</v>
      </c>
      <c r="AJ5" s="5"/>
      <c r="AK5" s="2" t="s">
        <v>21</v>
      </c>
      <c r="AL5" s="3">
        <f>VLOOKUP(AK5,Vorgabe_ab_2023!$A$26:$D$30,2)</f>
        <v>2.5</v>
      </c>
      <c r="AM5" s="5"/>
      <c r="AN5" s="2" t="s">
        <v>23</v>
      </c>
      <c r="AO5" s="3">
        <f>VLOOKUP(AN5,Vorgabe_ab_2023!$A$26:$D$30,2)</f>
        <v>1</v>
      </c>
      <c r="AP5" s="5"/>
    </row>
    <row r="6" spans="1:42" x14ac:dyDescent="0.25">
      <c r="B6" s="1" t="str">
        <f>+Vorgabe_ab_2023!A33</f>
        <v>5. Wettkampfbeteiligung</v>
      </c>
      <c r="D6" s="2" t="s">
        <v>15</v>
      </c>
      <c r="E6" s="3">
        <f>VLOOKUP(D6,Vorgabe_ab_2023!$A$34:$D$35,2)</f>
        <v>0</v>
      </c>
      <c r="F6" s="5"/>
      <c r="G6" s="2" t="s">
        <v>15</v>
      </c>
      <c r="H6" s="3">
        <f>VLOOKUP(G6,Vorgabe_ab_2023!$A$34:$D$35,2)</f>
        <v>0</v>
      </c>
      <c r="I6" s="5"/>
      <c r="J6" s="2" t="s">
        <v>15</v>
      </c>
      <c r="K6" s="3">
        <f>VLOOKUP(J6,Vorgabe_ab_2023!$A$34:$D$35,2)</f>
        <v>0</v>
      </c>
      <c r="L6" s="5"/>
      <c r="M6" s="2" t="s">
        <v>15</v>
      </c>
      <c r="N6" s="3">
        <f>VLOOKUP(M6,Vorgabe_ab_2023!$A$34:$D$35,2)</f>
        <v>0</v>
      </c>
      <c r="O6" s="5"/>
      <c r="P6" s="2" t="s">
        <v>15</v>
      </c>
      <c r="Q6" s="3">
        <f>VLOOKUP(P6,Vorgabe_ab_2023!$A$34:$D$35,2)</f>
        <v>0</v>
      </c>
      <c r="R6" s="5"/>
      <c r="S6" s="2" t="s">
        <v>15</v>
      </c>
      <c r="T6" s="3">
        <f>VLOOKUP(S6,Vorgabe_ab_2023!$A$34:$D$35,2)</f>
        <v>0</v>
      </c>
      <c r="U6" s="5"/>
      <c r="V6" s="2" t="s">
        <v>15</v>
      </c>
      <c r="W6" s="3">
        <f>VLOOKUP(V6,Vorgabe_ab_2023!$A$34:$D$35,2)</f>
        <v>0</v>
      </c>
      <c r="X6" s="5"/>
      <c r="Y6" s="2" t="s">
        <v>15</v>
      </c>
      <c r="Z6" s="3">
        <f>VLOOKUP(Y6,Vorgabe_ab_2023!$A$34:$D$35,2)</f>
        <v>0</v>
      </c>
      <c r="AA6" s="5"/>
      <c r="AB6" s="2" t="s">
        <v>15</v>
      </c>
      <c r="AC6" s="3">
        <f>VLOOKUP(AB6,Vorgabe_ab_2023!$A$34:$D$35,2)</f>
        <v>0</v>
      </c>
      <c r="AD6" s="5"/>
      <c r="AE6" s="2" t="s">
        <v>15</v>
      </c>
      <c r="AF6" s="3">
        <f>VLOOKUP(AE6,Vorgabe_ab_2023!$A$34:$D$35,2)</f>
        <v>0</v>
      </c>
      <c r="AG6" s="5"/>
      <c r="AH6" s="2" t="s">
        <v>15</v>
      </c>
      <c r="AI6" s="3">
        <f>VLOOKUP(AH6,Vorgabe_ab_2023!$A$34:$D$35,2)</f>
        <v>0</v>
      </c>
      <c r="AJ6" s="5"/>
      <c r="AK6" s="2" t="s">
        <v>15</v>
      </c>
      <c r="AL6" s="3">
        <f>VLOOKUP(AK6,Vorgabe_ab_2023!$A$34:$D$35,2)</f>
        <v>0</v>
      </c>
      <c r="AM6" s="5"/>
      <c r="AN6" s="2" t="s">
        <v>15</v>
      </c>
      <c r="AO6" s="3">
        <f>VLOOKUP(AN6,Vorgabe_ab_2023!$A$34:$D$35,2)</f>
        <v>0</v>
      </c>
      <c r="AP6" s="5"/>
    </row>
    <row r="7" spans="1:42" x14ac:dyDescent="0.25">
      <c r="F7" s="5"/>
      <c r="I7" s="5"/>
      <c r="L7" s="5"/>
      <c r="O7" s="5"/>
      <c r="R7" s="5"/>
      <c r="U7" s="5"/>
      <c r="X7" s="5"/>
      <c r="AA7" s="5"/>
      <c r="AD7" s="5"/>
      <c r="AG7" s="5"/>
      <c r="AJ7" s="5"/>
      <c r="AM7" s="5"/>
      <c r="AP7" s="5"/>
    </row>
    <row r="8" spans="1:42" ht="15.75" thickBot="1" x14ac:dyDescent="0.3">
      <c r="B8" s="1" t="s">
        <v>24</v>
      </c>
      <c r="E8" s="4">
        <f>SUM(E2:E7)</f>
        <v>9</v>
      </c>
      <c r="F8" s="5"/>
      <c r="H8" s="4">
        <f>SUM(H2:H7)</f>
        <v>8.5</v>
      </c>
      <c r="I8" s="5"/>
      <c r="K8" s="4">
        <f>SUM(K2:K7)</f>
        <v>10</v>
      </c>
      <c r="L8" s="5"/>
      <c r="N8" s="4">
        <f>SUM(N2:N7)</f>
        <v>9</v>
      </c>
      <c r="O8" s="5"/>
      <c r="Q8" s="4">
        <f>SUM(Q2:Q7)</f>
        <v>8.5</v>
      </c>
      <c r="R8" s="5"/>
      <c r="T8" s="4">
        <f>SUM(T2:T7)</f>
        <v>10</v>
      </c>
      <c r="U8" s="5"/>
      <c r="W8" s="4">
        <f>SUM(W2:W7)</f>
        <v>10</v>
      </c>
      <c r="X8" s="5"/>
      <c r="Z8" s="4">
        <f>SUM(Z2:Z7)</f>
        <v>8.5</v>
      </c>
      <c r="AA8" s="5"/>
      <c r="AC8" s="4">
        <f>SUM(AC2:AC7)</f>
        <v>8</v>
      </c>
      <c r="AD8" s="5"/>
      <c r="AF8" s="4">
        <f>SUM(AF2:AF7)</f>
        <v>8</v>
      </c>
      <c r="AG8" s="5"/>
      <c r="AI8" s="4" t="e">
        <f>SUM(AI2:AI7)</f>
        <v>#N/A</v>
      </c>
      <c r="AJ8" s="5"/>
      <c r="AL8" s="4" t="e">
        <f>SUM(AL2:AL7)</f>
        <v>#N/A</v>
      </c>
      <c r="AM8" s="5"/>
      <c r="AO8" s="4" t="e">
        <f>SUM(AO2:AO7)</f>
        <v>#N/A</v>
      </c>
      <c r="AP8" s="5"/>
    </row>
    <row r="9" spans="1:42" ht="15.75" thickTop="1" x14ac:dyDescent="0.25">
      <c r="E9" s="11"/>
      <c r="F9" s="5"/>
      <c r="H9" s="11"/>
      <c r="I9" s="5"/>
      <c r="K9" s="11"/>
      <c r="L9" s="5"/>
      <c r="N9" s="11"/>
      <c r="O9" s="5"/>
      <c r="Q9" s="11"/>
      <c r="R9" s="5"/>
      <c r="T9" s="11"/>
      <c r="U9" s="5"/>
      <c r="W9" s="11"/>
      <c r="X9" s="5"/>
      <c r="Y9" s="1" t="s">
        <v>25</v>
      </c>
      <c r="Z9" s="11">
        <v>3</v>
      </c>
      <c r="AA9" s="5"/>
      <c r="AB9" s="1" t="s">
        <v>25</v>
      </c>
      <c r="AC9" s="11">
        <v>3</v>
      </c>
      <c r="AD9" s="54"/>
      <c r="AF9" s="11"/>
      <c r="AG9" s="5"/>
      <c r="AI9" s="11"/>
      <c r="AJ9" s="5"/>
      <c r="AK9" s="1" t="s">
        <v>25</v>
      </c>
      <c r="AL9" s="11">
        <v>3</v>
      </c>
      <c r="AM9" s="5"/>
      <c r="AO9" s="11"/>
      <c r="AP9" s="5"/>
    </row>
    <row r="10" spans="1:42" x14ac:dyDescent="0.25">
      <c r="B10" s="3" t="s">
        <v>26</v>
      </c>
      <c r="C10" s="3"/>
      <c r="E10" s="12">
        <f>E8*E16*E18</f>
        <v>1080</v>
      </c>
      <c r="F10" s="5"/>
      <c r="H10" s="12">
        <f>H8*H16*H18</f>
        <v>510</v>
      </c>
      <c r="I10" s="5"/>
      <c r="K10" s="12">
        <f>K8*K16*K18</f>
        <v>800</v>
      </c>
      <c r="L10" s="5"/>
      <c r="N10" s="12">
        <f>N8*N16*N18</f>
        <v>720</v>
      </c>
      <c r="O10" s="5"/>
      <c r="Q10" s="12">
        <f>Q8*Q16*Q18</f>
        <v>0</v>
      </c>
      <c r="R10" s="5"/>
      <c r="T10" s="12">
        <f>T8*T16*T18</f>
        <v>1000</v>
      </c>
      <c r="U10" s="5"/>
      <c r="W10" s="12">
        <f>W8*W16*W18</f>
        <v>800</v>
      </c>
      <c r="X10" s="5"/>
      <c r="Z10" s="12">
        <f>Z8*Z16*Z18</f>
        <v>680</v>
      </c>
      <c r="AA10" s="5"/>
      <c r="AC10" s="12">
        <f>AC8*AC16*AC18</f>
        <v>320</v>
      </c>
      <c r="AD10" s="5"/>
      <c r="AF10" s="12"/>
      <c r="AG10" s="5"/>
      <c r="AI10" s="12"/>
      <c r="AJ10" s="5"/>
      <c r="AK10" s="68" t="s">
        <v>27</v>
      </c>
      <c r="AL10" s="69">
        <v>4</v>
      </c>
      <c r="AM10" s="5"/>
      <c r="AO10" s="12"/>
      <c r="AP10" s="5"/>
    </row>
    <row r="13" spans="1:42" s="6" customFormat="1" x14ac:dyDescent="0.25">
      <c r="A13" s="168" t="s">
        <v>28</v>
      </c>
      <c r="B13" s="6" t="s">
        <v>29</v>
      </c>
      <c r="E13" s="8">
        <f>+E8</f>
        <v>9</v>
      </c>
      <c r="H13" s="8">
        <f>+H8</f>
        <v>8.5</v>
      </c>
      <c r="K13" s="8">
        <f>+K8</f>
        <v>10</v>
      </c>
      <c r="N13" s="8">
        <f>+N8</f>
        <v>9</v>
      </c>
      <c r="Q13" s="8">
        <f>+Q8</f>
        <v>8.5</v>
      </c>
      <c r="T13" s="8">
        <f>+T8</f>
        <v>10</v>
      </c>
      <c r="W13" s="8">
        <f>+W8</f>
        <v>10</v>
      </c>
      <c r="Z13" s="8">
        <f>+Z8</f>
        <v>8.5</v>
      </c>
      <c r="AC13" s="8">
        <f>+AC8</f>
        <v>8</v>
      </c>
      <c r="AF13" s="7">
        <v>7.5</v>
      </c>
      <c r="AI13" s="7">
        <v>7.5</v>
      </c>
      <c r="AL13" s="7">
        <v>7.5</v>
      </c>
      <c r="AO13" s="7">
        <v>2.5</v>
      </c>
    </row>
    <row r="14" spans="1:42" s="6" customFormat="1" x14ac:dyDescent="0.25">
      <c r="A14" s="168"/>
      <c r="B14" s="6" t="s">
        <v>30</v>
      </c>
      <c r="E14" s="8"/>
      <c r="H14" s="8"/>
      <c r="K14" s="8"/>
      <c r="N14" s="8"/>
      <c r="Q14" s="8"/>
      <c r="T14" s="8"/>
      <c r="W14" s="8"/>
      <c r="Z14" s="8"/>
      <c r="AC14" s="8"/>
      <c r="AF14" s="8">
        <f t="shared" ref="AF14" si="0">AF13*4</f>
        <v>30</v>
      </c>
      <c r="AI14" s="8">
        <f t="shared" ref="AI14" si="1">AI13*4</f>
        <v>30</v>
      </c>
      <c r="AL14" s="8">
        <f t="shared" ref="AL14" si="2">AL13*4</f>
        <v>30</v>
      </c>
      <c r="AO14" s="8">
        <f>AO13*4</f>
        <v>10</v>
      </c>
    </row>
    <row r="15" spans="1:42" s="6" customFormat="1" x14ac:dyDescent="0.25">
      <c r="A15" s="168"/>
    </row>
    <row r="16" spans="1:42" s="6" customFormat="1" x14ac:dyDescent="0.25">
      <c r="A16" s="168"/>
      <c r="B16" s="6" t="s">
        <v>31</v>
      </c>
      <c r="E16" s="9">
        <v>3</v>
      </c>
      <c r="H16" s="9">
        <v>1.5</v>
      </c>
      <c r="K16" s="9">
        <v>2</v>
      </c>
      <c r="N16" s="9">
        <v>2</v>
      </c>
      <c r="Q16" s="9">
        <v>0</v>
      </c>
      <c r="T16" s="9">
        <v>2.5</v>
      </c>
      <c r="W16" s="9">
        <v>2</v>
      </c>
      <c r="Z16" s="9">
        <v>2</v>
      </c>
      <c r="AC16" s="9">
        <v>1</v>
      </c>
      <c r="AF16" s="9">
        <v>2</v>
      </c>
      <c r="AI16" s="9">
        <v>2</v>
      </c>
      <c r="AL16" s="9">
        <v>2</v>
      </c>
      <c r="AO16" s="9">
        <v>2</v>
      </c>
    </row>
    <row r="17" spans="1:42" s="6" customFormat="1" x14ac:dyDescent="0.25">
      <c r="A17" s="168"/>
      <c r="E17" s="9"/>
      <c r="H17" s="9"/>
      <c r="K17" s="9"/>
      <c r="N17" s="9"/>
      <c r="Q17" s="9"/>
      <c r="T17" s="9"/>
      <c r="W17" s="9"/>
      <c r="Z17" s="9"/>
      <c r="AC17" s="9"/>
      <c r="AF17" s="9"/>
      <c r="AI17" s="9"/>
      <c r="AL17" s="9"/>
      <c r="AO17" s="9"/>
    </row>
    <row r="18" spans="1:42" s="6" customFormat="1" x14ac:dyDescent="0.25">
      <c r="A18" s="168"/>
      <c r="B18" s="6" t="s">
        <v>32</v>
      </c>
      <c r="E18" s="9">
        <v>40</v>
      </c>
      <c r="H18" s="9">
        <f>+$E$18</f>
        <v>40</v>
      </c>
      <c r="K18" s="9">
        <f>+$E$18</f>
        <v>40</v>
      </c>
      <c r="N18" s="9">
        <f>+$E$18</f>
        <v>40</v>
      </c>
      <c r="Q18" s="9">
        <f>+$E$18</f>
        <v>40</v>
      </c>
      <c r="T18" s="9">
        <f>+$E$18</f>
        <v>40</v>
      </c>
      <c r="W18" s="9">
        <f>+$E$18</f>
        <v>40</v>
      </c>
      <c r="Z18" s="9">
        <f>+$E$18</f>
        <v>40</v>
      </c>
      <c r="AC18" s="9">
        <f>+$E$18</f>
        <v>40</v>
      </c>
      <c r="AF18" s="9">
        <v>40</v>
      </c>
      <c r="AI18" s="9">
        <v>40</v>
      </c>
      <c r="AL18" s="9">
        <v>40</v>
      </c>
      <c r="AO18" s="9">
        <v>40</v>
      </c>
    </row>
    <row r="19" spans="1:42" s="10" customFormat="1" x14ac:dyDescent="0.25">
      <c r="A19" s="169"/>
      <c r="B19" s="10" t="s">
        <v>33</v>
      </c>
      <c r="E19" s="10">
        <f>E18*E16*E13</f>
        <v>1080</v>
      </c>
      <c r="H19" s="10">
        <f t="shared" ref="H19" si="3">H18*H16*H13</f>
        <v>510</v>
      </c>
      <c r="K19" s="10">
        <f t="shared" ref="K19" si="4">K18*K16*K13</f>
        <v>800</v>
      </c>
      <c r="N19" s="10">
        <f t="shared" ref="N19" si="5">N18*N16*N13</f>
        <v>720</v>
      </c>
      <c r="Q19" s="10">
        <f t="shared" ref="Q19" si="6">Q18*Q16*Q13</f>
        <v>0</v>
      </c>
      <c r="T19" s="10">
        <f t="shared" ref="T19" si="7">T18*T16*T13</f>
        <v>1000</v>
      </c>
      <c r="W19" s="10">
        <f t="shared" ref="W19" si="8">W18*W16*W13</f>
        <v>800</v>
      </c>
      <c r="Z19" s="10">
        <f t="shared" ref="Z19" si="9">Z18*Z16*Z13</f>
        <v>680</v>
      </c>
      <c r="AC19" s="10">
        <f t="shared" ref="AC19" si="10">AC18*AC16*AC13</f>
        <v>320</v>
      </c>
      <c r="AF19" s="10">
        <f t="shared" ref="AF19" si="11">AF18*AF16*AF13</f>
        <v>600</v>
      </c>
      <c r="AI19" s="10">
        <f t="shared" ref="AI19" si="12">AI18*AI16*AI13</f>
        <v>600</v>
      </c>
      <c r="AL19" s="10">
        <f t="shared" ref="AL19" si="13">AL18*AL16*AL13</f>
        <v>600</v>
      </c>
      <c r="AO19" s="10">
        <f t="shared" ref="AO19" si="14">AO18*AO16*AO13</f>
        <v>200</v>
      </c>
    </row>
    <row r="20" spans="1:42" s="3" customFormat="1" x14ac:dyDescent="0.25">
      <c r="A20" s="35"/>
    </row>
    <row r="21" spans="1:42" ht="8.4499999999999993" customHeight="1" x14ac:dyDescent="0.2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row>
    <row r="23" spans="1:42" ht="15.75" thickBot="1" x14ac:dyDescent="0.3">
      <c r="B23" s="51" t="s">
        <v>34</v>
      </c>
      <c r="C23" s="13">
        <f>SUM(E19:ZX19)</f>
        <v>7910</v>
      </c>
      <c r="D23" s="72"/>
      <c r="E23" s="11"/>
    </row>
    <row r="24" spans="1:42" ht="15.75" thickTop="1" x14ac:dyDescent="0.25"/>
  </sheetData>
  <sheetProtection selectLockedCells="1"/>
  <mergeCells count="14">
    <mergeCell ref="AH1:AI1"/>
    <mergeCell ref="AK1:AL1"/>
    <mergeCell ref="AN1:AO1"/>
    <mergeCell ref="A13:A19"/>
    <mergeCell ref="P1:Q1"/>
    <mergeCell ref="S1:T1"/>
    <mergeCell ref="V1:W1"/>
    <mergeCell ref="Y1:Z1"/>
    <mergeCell ref="AB1:AC1"/>
    <mergeCell ref="AE1:AF1"/>
    <mergeCell ref="D1:E1"/>
    <mergeCell ref="G1:H1"/>
    <mergeCell ref="J1:K1"/>
    <mergeCell ref="M1:N1"/>
  </mergeCells>
  <dataValidations count="5">
    <dataValidation type="list" allowBlank="1" showInputMessage="1" showErrorMessage="1" sqref="S3 V3 Y3 J3 G3 AH3 P3 M3 AB3 AE3 AK3 AN3 D3" xr:uid="{A6DC2638-7819-497B-9925-9F48F76A8229}">
      <formula1>Lizenz</formula1>
    </dataValidation>
    <dataValidation type="list" allowBlank="1" showInputMessage="1" showErrorMessage="1" sqref="S6 V6 Y6 J6 G6 AH6 P6 M6 AB6 AE6 AK6 AN6 D6" xr:uid="{3120C0FB-4333-4CA4-89FD-31E5DFB3A09E}">
      <formula1>Wettkampfbeteiligung</formula1>
    </dataValidation>
    <dataValidation type="list" allowBlank="1" showInputMessage="1" showErrorMessage="1" sqref="S5 V5 Y5 J5 G5 AH5 P5 M5 AB5 AE5 AK5 AN5 D5" xr:uid="{6AA44D69-8FF8-4186-8EF5-8A88EA0F0E27}">
      <formula1>Gruppengröße</formula1>
    </dataValidation>
    <dataValidation type="list" allowBlank="1" showInputMessage="1" showErrorMessage="1" sqref="S4 V4 Y4 J4 G4 AH4 P4 M4 AB4 AE4 AK4 AN4 D4" xr:uid="{2B82B1B4-94CF-4CE7-9002-AFF203523EA3}">
      <formula1>Erfahrung</formula1>
    </dataValidation>
    <dataValidation type="list" allowBlank="1" showInputMessage="1" showErrorMessage="1" sqref="S2 V2 Y2 J2 G2 AH2 P2 M2 AB2 AE2 AK2 AN2 D2" xr:uid="{7A1D7799-EB61-430B-B80B-9F92DA16DD8D}">
      <formula1>AusbildungSTV</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9" max="37" man="1"/>
    <brk id="21" max="37" man="1"/>
    <brk id="36" max="37"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
  <sheetViews>
    <sheetView zoomScaleNormal="100" workbookViewId="0">
      <selection activeCell="AD5" sqref="AD5"/>
    </sheetView>
  </sheetViews>
  <sheetFormatPr baseColWidth="10" defaultColWidth="11.42578125" defaultRowHeight="15" x14ac:dyDescent="0.25"/>
  <cols>
    <col min="1" max="2" width="29.42578125" customWidth="1"/>
  </cols>
  <sheetData>
    <row r="1" spans="1:8" x14ac:dyDescent="0.25">
      <c r="A1" s="56" t="s">
        <v>35</v>
      </c>
      <c r="B1" s="66" t="s">
        <v>36</v>
      </c>
      <c r="C1" s="57" t="s">
        <v>132</v>
      </c>
      <c r="D1" s="57" t="s">
        <v>133</v>
      </c>
      <c r="E1" s="57" t="s">
        <v>134</v>
      </c>
      <c r="F1" s="57" t="s">
        <v>135</v>
      </c>
      <c r="G1" s="58" t="s">
        <v>136</v>
      </c>
    </row>
    <row r="2" spans="1:8" x14ac:dyDescent="0.25">
      <c r="A2" s="61" t="s">
        <v>47</v>
      </c>
      <c r="B2" s="67" t="s">
        <v>48</v>
      </c>
      <c r="C2" s="55"/>
      <c r="D2" s="55">
        <v>90</v>
      </c>
      <c r="E2" s="55">
        <v>90</v>
      </c>
      <c r="F2" s="55">
        <v>60</v>
      </c>
      <c r="G2" s="60">
        <v>90</v>
      </c>
      <c r="H2" s="65">
        <f t="shared" ref="H2:H4" si="0">SUM(D2:G2)</f>
        <v>330</v>
      </c>
    </row>
    <row r="3" spans="1:8" x14ac:dyDescent="0.25">
      <c r="A3" s="61" t="s">
        <v>50</v>
      </c>
      <c r="B3" s="67" t="s">
        <v>51</v>
      </c>
      <c r="C3" s="55"/>
      <c r="D3" s="55">
        <v>30</v>
      </c>
      <c r="E3" s="55">
        <v>30</v>
      </c>
      <c r="F3" s="55">
        <v>20</v>
      </c>
      <c r="G3" s="60">
        <v>30</v>
      </c>
      <c r="H3" s="65">
        <f>SUM(D3:G3)</f>
        <v>110</v>
      </c>
    </row>
    <row r="4" spans="1:8" x14ac:dyDescent="0.25">
      <c r="A4" s="61" t="s">
        <v>53</v>
      </c>
      <c r="B4" s="67" t="s">
        <v>129</v>
      </c>
      <c r="C4" s="55"/>
      <c r="D4" s="55">
        <v>30</v>
      </c>
      <c r="E4" s="55">
        <v>30</v>
      </c>
      <c r="F4" s="55">
        <v>20</v>
      </c>
      <c r="G4" s="60">
        <v>30</v>
      </c>
      <c r="H4" s="65">
        <f t="shared" si="0"/>
        <v>110</v>
      </c>
    </row>
    <row r="5" spans="1:8" x14ac:dyDescent="0.25">
      <c r="A5" s="61" t="s">
        <v>53</v>
      </c>
      <c r="B5" s="67" t="s">
        <v>54</v>
      </c>
      <c r="C5" s="55">
        <v>90</v>
      </c>
      <c r="D5" s="55">
        <v>90</v>
      </c>
      <c r="E5" s="55">
        <v>90</v>
      </c>
      <c r="F5" s="55">
        <v>60</v>
      </c>
      <c r="G5" s="60">
        <v>90</v>
      </c>
      <c r="H5" s="65">
        <f>SUM(C5:G5)</f>
        <v>420</v>
      </c>
    </row>
    <row r="6" spans="1:8" x14ac:dyDescent="0.25">
      <c r="A6" s="61" t="s">
        <v>130</v>
      </c>
      <c r="B6" s="67" t="s">
        <v>131</v>
      </c>
      <c r="C6" s="55"/>
      <c r="D6" s="55">
        <v>20</v>
      </c>
      <c r="E6" s="55">
        <v>30</v>
      </c>
      <c r="F6" s="55">
        <v>20</v>
      </c>
      <c r="G6" s="60">
        <v>30</v>
      </c>
      <c r="H6" s="65">
        <f>SUM(C6:G6)</f>
        <v>100</v>
      </c>
    </row>
    <row r="7" spans="1:8" x14ac:dyDescent="0.25">
      <c r="G7" s="65">
        <f>SUM(C2:G6)</f>
        <v>1070</v>
      </c>
    </row>
  </sheetData>
  <pageMargins left="0.70866141732283472" right="0.70866141732283472" top="0.78740157480314965" bottom="0.78740157480314965" header="0.31496062992125984" footer="0.31496062992125984"/>
  <pageSetup paperSize="9"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29"/>
  <sheetViews>
    <sheetView zoomScaleNormal="100" workbookViewId="0">
      <pane xSplit="2" ySplit="1" topLeftCell="Y2" activePane="bottomRight" state="frozen"/>
      <selection pane="topRight" activeCell="AD5" sqref="AD5"/>
      <selection pane="bottomLeft" activeCell="AD5" sqref="AD5"/>
      <selection pane="bottomRight" activeCell="AD5" sqref="AD5"/>
    </sheetView>
  </sheetViews>
  <sheetFormatPr baseColWidth="10" defaultColWidth="11.5703125" defaultRowHeight="15" x14ac:dyDescent="0.25"/>
  <cols>
    <col min="1" max="1" width="5.28515625" style="1" customWidth="1"/>
    <col min="2" max="2" width="30.42578125" style="1" customWidth="1"/>
    <col min="3" max="3" width="18.140625" style="1" customWidth="1"/>
    <col min="4" max="4" width="11.5703125" style="1"/>
    <col min="5" max="5" width="4" style="1" customWidth="1"/>
    <col min="6" max="6" width="18.140625" style="1" customWidth="1"/>
    <col min="7" max="7" width="11.5703125" style="1"/>
    <col min="8" max="8" width="4" style="1" customWidth="1"/>
    <col min="9" max="9" width="18.140625" style="1" customWidth="1"/>
    <col min="10" max="10" width="11.5703125" style="1"/>
    <col min="11" max="11" width="4" style="1" customWidth="1"/>
    <col min="12" max="12" width="18.140625" style="1" customWidth="1"/>
    <col min="13" max="13" width="11.5703125" style="1"/>
    <col min="14" max="14" width="4" style="1" customWidth="1"/>
    <col min="15" max="15" width="18.140625" style="1" customWidth="1"/>
    <col min="16" max="16" width="11.5703125" style="1"/>
    <col min="17" max="17" width="4" style="1" customWidth="1"/>
    <col min="18" max="18" width="18.140625" style="1" customWidth="1"/>
    <col min="19" max="19" width="11.5703125" style="1"/>
    <col min="20" max="20" width="4" style="1" customWidth="1"/>
    <col min="21" max="21" width="18.140625" style="1" customWidth="1"/>
    <col min="22" max="22" width="11.5703125" style="1"/>
    <col min="23" max="23" width="4" style="1" customWidth="1"/>
    <col min="24" max="24" width="18.140625" style="1" customWidth="1"/>
    <col min="25" max="25" width="11.5703125" style="1"/>
    <col min="26" max="26" width="4" style="1" customWidth="1"/>
    <col min="27" max="27" width="18.140625" style="1" customWidth="1"/>
    <col min="28" max="28" width="11.5703125" style="1"/>
    <col min="29" max="29" width="4" style="1" customWidth="1"/>
    <col min="30" max="30" width="18.140625" style="1" customWidth="1"/>
    <col min="31" max="31" width="11.5703125" style="1"/>
    <col min="32" max="32" width="4" style="1" customWidth="1"/>
    <col min="33" max="33" width="18.140625" style="1" customWidth="1"/>
    <col min="34" max="34" width="11.5703125" style="1"/>
    <col min="35" max="35" width="4" style="1" customWidth="1"/>
    <col min="36" max="36" width="18.140625" style="1" customWidth="1"/>
    <col min="37" max="37" width="11.5703125" style="1"/>
    <col min="38" max="38" width="4" style="1" customWidth="1"/>
    <col min="39" max="39" width="18.140625" style="1" customWidth="1"/>
    <col min="40" max="40" width="11.5703125" style="1"/>
    <col min="41" max="41" width="4" style="1" customWidth="1"/>
    <col min="42" max="42" width="18.140625" style="1" customWidth="1"/>
    <col min="43" max="43" width="11.5703125" style="1"/>
    <col min="44" max="44" width="4" style="1" customWidth="1"/>
    <col min="45" max="45" width="18.140625" style="1" customWidth="1"/>
    <col min="46" max="46" width="11.5703125" style="1"/>
    <col min="47" max="47" width="4" style="1" customWidth="1"/>
    <col min="48" max="16384" width="11.5703125" style="1"/>
  </cols>
  <sheetData>
    <row r="1" spans="1:47" x14ac:dyDescent="0.25">
      <c r="C1" s="167" t="s">
        <v>47</v>
      </c>
      <c r="D1" s="167"/>
      <c r="E1" s="5"/>
      <c r="F1" s="167" t="s">
        <v>0</v>
      </c>
      <c r="G1" s="167"/>
      <c r="H1" s="5"/>
      <c r="I1" s="167" t="s">
        <v>118</v>
      </c>
      <c r="J1" s="167"/>
      <c r="K1" s="5"/>
      <c r="L1" s="167" t="s">
        <v>1</v>
      </c>
      <c r="M1" s="167"/>
      <c r="N1" s="5"/>
      <c r="O1" s="167" t="s">
        <v>2</v>
      </c>
      <c r="P1" s="167"/>
      <c r="Q1" s="5"/>
      <c r="R1" s="167" t="s">
        <v>3</v>
      </c>
      <c r="S1" s="167"/>
      <c r="T1" s="5"/>
      <c r="U1" s="167" t="s">
        <v>4</v>
      </c>
      <c r="V1" s="167"/>
      <c r="W1" s="5"/>
      <c r="X1" s="167" t="s">
        <v>5</v>
      </c>
      <c r="Y1" s="167"/>
      <c r="Z1" s="5"/>
      <c r="AA1" s="167" t="s">
        <v>6</v>
      </c>
      <c r="AB1" s="167"/>
      <c r="AC1" s="5"/>
      <c r="AD1" s="167" t="s">
        <v>7</v>
      </c>
      <c r="AE1" s="167"/>
      <c r="AF1" s="5"/>
      <c r="AG1" s="167" t="s">
        <v>8</v>
      </c>
      <c r="AH1" s="167"/>
      <c r="AI1" s="5"/>
      <c r="AJ1" s="167" t="s">
        <v>9</v>
      </c>
      <c r="AK1" s="167"/>
      <c r="AL1" s="5"/>
      <c r="AM1" s="167" t="s">
        <v>120</v>
      </c>
      <c r="AN1" s="167"/>
      <c r="AO1" s="5"/>
      <c r="AP1" s="167" t="s">
        <v>53</v>
      </c>
      <c r="AQ1" s="167"/>
      <c r="AR1" s="5"/>
      <c r="AS1" s="167" t="s">
        <v>12</v>
      </c>
      <c r="AT1" s="167"/>
      <c r="AU1" s="5"/>
    </row>
    <row r="2" spans="1:47" x14ac:dyDescent="0.25">
      <c r="B2" s="1" t="str">
        <f>+Vorgabe_2016!A3</f>
        <v>1. Ausbildung</v>
      </c>
      <c r="C2" s="2" t="s">
        <v>14</v>
      </c>
      <c r="D2" s="3">
        <f>VLOOKUP(C2,Vorgabe_2016!$A$4:$B$8,2)</f>
        <v>3.5</v>
      </c>
      <c r="E2" s="5"/>
      <c r="F2" s="2" t="s">
        <v>13</v>
      </c>
      <c r="G2" s="3">
        <f>VLOOKUP(F2,Vorgabe_2016!$A$4:$B$8,2)</f>
        <v>4.5</v>
      </c>
      <c r="H2" s="5"/>
      <c r="I2" s="2" t="s">
        <v>14</v>
      </c>
      <c r="J2" s="3">
        <f>VLOOKUP(I2,Vorgabe_2016!$A$4:$B$8,2)</f>
        <v>3.5</v>
      </c>
      <c r="K2" s="5"/>
      <c r="L2" s="2" t="s">
        <v>13</v>
      </c>
      <c r="M2" s="3">
        <f>VLOOKUP(L2,Vorgabe_2016!$A$4:$B$8,2)</f>
        <v>4.5</v>
      </c>
      <c r="N2" s="5"/>
      <c r="O2" s="2" t="s">
        <v>13</v>
      </c>
      <c r="P2" s="3">
        <f>VLOOKUP(O2,Vorgabe_2016!$A$4:$B$8,2)</f>
        <v>4.5</v>
      </c>
      <c r="Q2" s="5"/>
      <c r="R2" s="2" t="s">
        <v>13</v>
      </c>
      <c r="S2" s="3">
        <f>VLOOKUP(R2,Vorgabe_2016!$A$4:$B$8,2)</f>
        <v>4.5</v>
      </c>
      <c r="T2" s="5"/>
      <c r="U2" s="2" t="s">
        <v>13</v>
      </c>
      <c r="V2" s="3">
        <f>VLOOKUP(U2,Vorgabe_2016!$A$4:$B$8,2)</f>
        <v>4.5</v>
      </c>
      <c r="W2" s="5"/>
      <c r="X2" s="2" t="s">
        <v>13</v>
      </c>
      <c r="Y2" s="3">
        <f>VLOOKUP(X2,Vorgabe_2016!$A$4:$B$8,2)</f>
        <v>4.5</v>
      </c>
      <c r="Z2" s="5"/>
      <c r="AA2" s="2" t="s">
        <v>13</v>
      </c>
      <c r="AB2" s="3">
        <f>VLOOKUP(AA2,Vorgabe_2016!$A$4:$B$8,2)</f>
        <v>4.5</v>
      </c>
      <c r="AC2" s="5"/>
      <c r="AD2" s="2" t="s">
        <v>13</v>
      </c>
      <c r="AE2" s="3">
        <f>VLOOKUP(AD2,Vorgabe_2016!$A$4:$B$8,2)</f>
        <v>4.5</v>
      </c>
      <c r="AF2" s="5"/>
      <c r="AG2" s="2" t="s">
        <v>13</v>
      </c>
      <c r="AH2" s="3">
        <v>3.5</v>
      </c>
      <c r="AI2" s="5"/>
      <c r="AJ2" s="2" t="s">
        <v>13</v>
      </c>
      <c r="AK2" s="3">
        <f>VLOOKUP(AJ2,Vorgabe_2016!$A$4:$B$8,2)</f>
        <v>4.5</v>
      </c>
      <c r="AL2" s="5"/>
      <c r="AM2" s="2" t="s">
        <v>13</v>
      </c>
      <c r="AN2" s="3">
        <f>VLOOKUP(AM2,Vorgabe_2016!$A$4:$B$8,2)</f>
        <v>4.5</v>
      </c>
      <c r="AO2" s="5"/>
      <c r="AP2" s="2" t="s">
        <v>14</v>
      </c>
      <c r="AQ2" s="3">
        <f>VLOOKUP(AP2,Vorgabe_2016!$A$4:$B$8,2)</f>
        <v>3.5</v>
      </c>
      <c r="AR2" s="5"/>
      <c r="AS2" s="2" t="s">
        <v>14</v>
      </c>
      <c r="AT2" s="3">
        <f>VLOOKUP(AS2,Vorgabe_2016!$A$4:$B$8,2)</f>
        <v>3.5</v>
      </c>
      <c r="AU2" s="5"/>
    </row>
    <row r="3" spans="1:47" x14ac:dyDescent="0.25">
      <c r="B3" s="1" t="str">
        <f>+Vorgabe_2016!A11</f>
        <v>2. gültige Lizenz</v>
      </c>
      <c r="C3" s="2" t="s">
        <v>15</v>
      </c>
      <c r="D3" s="3">
        <f>VLOOKUP(C3,Vorgabe_2016!$A$12:$B$13,2)</f>
        <v>0</v>
      </c>
      <c r="E3" s="5"/>
      <c r="F3" s="2" t="s">
        <v>15</v>
      </c>
      <c r="G3" s="3">
        <f>VLOOKUP(F3,Vorgabe_2016!$A$12:$B$13,2)</f>
        <v>0</v>
      </c>
      <c r="H3" s="5"/>
      <c r="I3" s="2" t="s">
        <v>15</v>
      </c>
      <c r="J3" s="3">
        <f>VLOOKUP(I3,Vorgabe_2016!$A$12:$B$13,2)</f>
        <v>0</v>
      </c>
      <c r="K3" s="5"/>
      <c r="L3" s="2" t="s">
        <v>15</v>
      </c>
      <c r="M3" s="3">
        <f>VLOOKUP(L3,Vorgabe_2016!$A$12:$B$13,2)</f>
        <v>0</v>
      </c>
      <c r="N3" s="5"/>
      <c r="O3" s="2" t="s">
        <v>16</v>
      </c>
      <c r="P3" s="3">
        <f>VLOOKUP(O3,Vorgabe_2016!$A$12:$B$13,2)</f>
        <v>1.5</v>
      </c>
      <c r="Q3" s="5"/>
      <c r="R3" s="2" t="s">
        <v>16</v>
      </c>
      <c r="S3" s="3">
        <f>VLOOKUP(R3,Vorgabe_2016!$A$12:$B$13,2)</f>
        <v>1.5</v>
      </c>
      <c r="T3" s="5"/>
      <c r="U3" s="2" t="s">
        <v>16</v>
      </c>
      <c r="V3" s="3">
        <f>VLOOKUP(U3,Vorgabe_2016!$A$12:$B$13,2)</f>
        <v>1.5</v>
      </c>
      <c r="W3" s="5"/>
      <c r="X3" s="2" t="s">
        <v>16</v>
      </c>
      <c r="Y3" s="3">
        <f>VLOOKUP(X3,Vorgabe_2016!$A$12:$B$13,2)</f>
        <v>1.5</v>
      </c>
      <c r="Z3" s="5"/>
      <c r="AA3" s="2" t="s">
        <v>16</v>
      </c>
      <c r="AB3" s="3">
        <f>VLOOKUP(AA3,Vorgabe_2016!$A$12:$B$13,2)</f>
        <v>1.5</v>
      </c>
      <c r="AC3" s="5"/>
      <c r="AD3" s="2" t="s">
        <v>16</v>
      </c>
      <c r="AE3" s="3">
        <f>VLOOKUP(AD3,Vorgabe_2016!$A$12:$B$13,2)</f>
        <v>1.5</v>
      </c>
      <c r="AF3" s="5"/>
      <c r="AG3" s="2" t="s">
        <v>16</v>
      </c>
      <c r="AH3" s="3">
        <v>0</v>
      </c>
      <c r="AI3" s="5"/>
      <c r="AJ3" s="2" t="s">
        <v>16</v>
      </c>
      <c r="AK3" s="3">
        <f>VLOOKUP(AJ3,Vorgabe_2016!$A$12:$B$13,2)</f>
        <v>1.5</v>
      </c>
      <c r="AL3" s="5"/>
      <c r="AM3" s="2" t="s">
        <v>15</v>
      </c>
      <c r="AN3" s="3">
        <f>VLOOKUP(AM3,Vorgabe_2016!$A$12:$B$13,2)</f>
        <v>0</v>
      </c>
      <c r="AO3" s="5"/>
      <c r="AP3" s="2" t="s">
        <v>15</v>
      </c>
      <c r="AQ3" s="3">
        <f>VLOOKUP(AP3,Vorgabe_2016!$A$12:$B$13,2)</f>
        <v>0</v>
      </c>
      <c r="AR3" s="5"/>
      <c r="AS3" s="2" t="s">
        <v>15</v>
      </c>
      <c r="AT3" s="3">
        <f>VLOOKUP(AS3,Vorgabe_2016!$A$12:$B$13,2)</f>
        <v>0</v>
      </c>
      <c r="AU3" s="5"/>
    </row>
    <row r="4" spans="1:47" x14ac:dyDescent="0.25">
      <c r="B4" s="1" t="str">
        <f>+Vorgabe_2016!A16</f>
        <v>3. Erfahrung</v>
      </c>
      <c r="C4" s="2" t="s">
        <v>17</v>
      </c>
      <c r="D4" s="3">
        <f>VLOOKUP(C4,Vorgabe_2016!$A$17:$B$20,2)</f>
        <v>2</v>
      </c>
      <c r="E4" s="5"/>
      <c r="F4" s="2" t="s">
        <v>17</v>
      </c>
      <c r="G4" s="3">
        <f>VLOOKUP(F4,Vorgabe_2016!$A$17:$B$20,2)</f>
        <v>2</v>
      </c>
      <c r="H4" s="5"/>
      <c r="I4" s="2" t="s">
        <v>17</v>
      </c>
      <c r="J4" s="3">
        <f>VLOOKUP(I4,Vorgabe_2016!$A$17:$B$20,2)</f>
        <v>2</v>
      </c>
      <c r="K4" s="5"/>
      <c r="L4" s="2" t="s">
        <v>17</v>
      </c>
      <c r="M4" s="3">
        <f>VLOOKUP(L4,Vorgabe_2016!$A$17:$B$20,2)</f>
        <v>2</v>
      </c>
      <c r="N4" s="5"/>
      <c r="O4" s="2" t="s">
        <v>17</v>
      </c>
      <c r="P4" s="3">
        <f>VLOOKUP(O4,Vorgabe_2016!$A$17:$B$20,2)</f>
        <v>2</v>
      </c>
      <c r="Q4" s="5"/>
      <c r="R4" s="2" t="s">
        <v>17</v>
      </c>
      <c r="S4" s="3">
        <f>VLOOKUP(R4,Vorgabe_2016!$A$17:$B$20,2)</f>
        <v>2</v>
      </c>
      <c r="T4" s="5"/>
      <c r="U4" s="2" t="s">
        <v>18</v>
      </c>
      <c r="V4" s="3">
        <f>VLOOKUP(U4,Vorgabe_2016!$A$17:$B$20,2)</f>
        <v>1.5</v>
      </c>
      <c r="W4" s="5"/>
      <c r="X4" s="2" t="s">
        <v>17</v>
      </c>
      <c r="Y4" s="3">
        <f>VLOOKUP(X4,Vorgabe_2016!$A$17:$B$20,2)</f>
        <v>2</v>
      </c>
      <c r="Z4" s="5"/>
      <c r="AA4" s="2" t="s">
        <v>17</v>
      </c>
      <c r="AB4" s="3">
        <f>VLOOKUP(AA4,Vorgabe_2016!$A$17:$B$20,2)</f>
        <v>2</v>
      </c>
      <c r="AC4" s="5"/>
      <c r="AD4" s="2" t="s">
        <v>19</v>
      </c>
      <c r="AE4" s="3">
        <f>VLOOKUP(AD4,Vorgabe_2016!$A$17:$B$20,2)</f>
        <v>1</v>
      </c>
      <c r="AF4" s="5"/>
      <c r="AG4" s="2" t="s">
        <v>19</v>
      </c>
      <c r="AH4" s="3">
        <f>VLOOKUP(AG4,Vorgabe_2016!$A$17:$B$20,2)</f>
        <v>1</v>
      </c>
      <c r="AI4" s="5"/>
      <c r="AJ4" s="2" t="s">
        <v>19</v>
      </c>
      <c r="AK4" s="3">
        <f>VLOOKUP(AJ4,Vorgabe_2016!$A$17:$B$20,2)</f>
        <v>1</v>
      </c>
      <c r="AL4" s="5"/>
      <c r="AM4" s="2" t="s">
        <v>19</v>
      </c>
      <c r="AN4" s="3">
        <f>VLOOKUP(AM4,Vorgabe_2016!$A$17:$B$20,2)</f>
        <v>1</v>
      </c>
      <c r="AO4" s="5"/>
      <c r="AP4" s="2" t="s">
        <v>20</v>
      </c>
      <c r="AQ4" s="3">
        <f>VLOOKUP(AP4,Vorgabe_2016!$A$17:$B$20,2)</f>
        <v>0.5</v>
      </c>
      <c r="AR4" s="5"/>
      <c r="AS4" s="2" t="s">
        <v>20</v>
      </c>
      <c r="AT4" s="3">
        <f>VLOOKUP(AS4,Vorgabe_2016!$A$17:$B$20,2)</f>
        <v>0.5</v>
      </c>
      <c r="AU4" s="5"/>
    </row>
    <row r="5" spans="1:47" x14ac:dyDescent="0.25">
      <c r="B5" s="1" t="str">
        <f>+Vorgabe_2016!A23</f>
        <v>4. Gruppengröße</v>
      </c>
      <c r="C5" s="2" t="s">
        <v>22</v>
      </c>
      <c r="D5" s="3">
        <f>VLOOKUP(C5,Vorgabe_2016!$A$24:$B$28,2)</f>
        <v>2</v>
      </c>
      <c r="E5" s="5"/>
      <c r="F5" s="2" t="s">
        <v>21</v>
      </c>
      <c r="G5" s="3">
        <f>VLOOKUP(F5,Vorgabe_2016!$A$24:$B$28,2)</f>
        <v>2.5</v>
      </c>
      <c r="H5" s="5"/>
      <c r="I5" s="2" t="s">
        <v>23</v>
      </c>
      <c r="J5" s="3">
        <f>VLOOKUP(I5,Vorgabe_2016!$A$24:$B$28,2)</f>
        <v>1</v>
      </c>
      <c r="K5" s="5"/>
      <c r="L5" s="2" t="s">
        <v>22</v>
      </c>
      <c r="M5" s="3">
        <f>VLOOKUP(L5,Vorgabe_2016!$A$24:$B$28,2)</f>
        <v>2</v>
      </c>
      <c r="N5" s="5"/>
      <c r="O5" s="2" t="s">
        <v>22</v>
      </c>
      <c r="P5" s="3">
        <f>VLOOKUP(O5,Vorgabe_2016!$A$24:$B$28,2)</f>
        <v>2</v>
      </c>
      <c r="Q5" s="5"/>
      <c r="R5" s="2" t="s">
        <v>23</v>
      </c>
      <c r="S5" s="3">
        <f>VLOOKUP(R5,Vorgabe_2016!$A$24:$B$28,2)</f>
        <v>1</v>
      </c>
      <c r="T5" s="5"/>
      <c r="U5" s="2" t="s">
        <v>23</v>
      </c>
      <c r="V5" s="3">
        <f>VLOOKUP(U5,Vorgabe_2016!$A$24:$B$28,2)</f>
        <v>1</v>
      </c>
      <c r="W5" s="5"/>
      <c r="X5" s="2" t="s">
        <v>22</v>
      </c>
      <c r="Y5" s="3">
        <f>VLOOKUP(X5,Vorgabe_2016!$A$24:$B$28,2)</f>
        <v>2</v>
      </c>
      <c r="Z5" s="5"/>
      <c r="AA5" s="2" t="s">
        <v>22</v>
      </c>
      <c r="AB5" s="3">
        <f>VLOOKUP(AA5,Vorgabe_2016!$A$24:$B$28,2)</f>
        <v>2</v>
      </c>
      <c r="AC5" s="5"/>
      <c r="AD5" s="2" t="s">
        <v>21</v>
      </c>
      <c r="AE5" s="3">
        <f>VLOOKUP(AD5,Vorgabe_2016!$A$24:$B$28,2)</f>
        <v>2.5</v>
      </c>
      <c r="AF5" s="5"/>
      <c r="AG5" s="2" t="s">
        <v>22</v>
      </c>
      <c r="AH5" s="3">
        <f>VLOOKUP(AG5,Vorgabe_2016!$A$24:$B$28,2)</f>
        <v>2</v>
      </c>
      <c r="AI5" s="5"/>
      <c r="AJ5" s="2" t="s">
        <v>23</v>
      </c>
      <c r="AK5" s="3">
        <f>VLOOKUP(AJ5,Vorgabe_2016!$A$24:$B$28,2)</f>
        <v>1</v>
      </c>
      <c r="AL5" s="5"/>
      <c r="AM5" s="2" t="s">
        <v>23</v>
      </c>
      <c r="AN5" s="3">
        <f>VLOOKUP(AM5,Vorgabe_2016!$A$24:$B$28,2)</f>
        <v>1</v>
      </c>
      <c r="AO5" s="5"/>
      <c r="AP5" s="2" t="s">
        <v>93</v>
      </c>
      <c r="AQ5" s="3">
        <f>VLOOKUP(AP5,Vorgabe_2016!$A$24:$B$28,2)</f>
        <v>1.5</v>
      </c>
      <c r="AR5" s="5"/>
      <c r="AS5" s="2" t="s">
        <v>23</v>
      </c>
      <c r="AT5" s="3">
        <f>VLOOKUP(AS5,Vorgabe_2016!$A$24:$B$28,2)</f>
        <v>1</v>
      </c>
      <c r="AU5" s="5"/>
    </row>
    <row r="6" spans="1:47" x14ac:dyDescent="0.25">
      <c r="B6" s="1" t="str">
        <f>+Vorgabe_2016!A31</f>
        <v>5. Wettkampfbeteiligung</v>
      </c>
      <c r="C6" s="2" t="s">
        <v>95</v>
      </c>
      <c r="D6" s="3">
        <f>VLOOKUP(C6,Vorgabe_2016!$A$32:$B$33,2)</f>
        <v>1</v>
      </c>
      <c r="E6" s="5"/>
      <c r="F6" s="2" t="s">
        <v>15</v>
      </c>
      <c r="G6" s="3">
        <f>VLOOKUP(F6,Vorgabe_2016!$A$32:$B$33,2)</f>
        <v>0</v>
      </c>
      <c r="H6" s="5"/>
      <c r="I6" s="2" t="s">
        <v>15</v>
      </c>
      <c r="J6" s="3">
        <f>VLOOKUP(I6,Vorgabe_2016!$A$32:$B$33,2)</f>
        <v>0</v>
      </c>
      <c r="K6" s="5"/>
      <c r="L6" s="2" t="s">
        <v>15</v>
      </c>
      <c r="M6" s="3">
        <f>VLOOKUP(L6,Vorgabe_2016!$A$32:$B$33,2)</f>
        <v>0</v>
      </c>
      <c r="N6" s="5"/>
      <c r="O6" s="2" t="s">
        <v>15</v>
      </c>
      <c r="P6" s="3">
        <f>VLOOKUP(O6,Vorgabe_2016!$A$32:$B$33,2)</f>
        <v>0</v>
      </c>
      <c r="Q6" s="5"/>
      <c r="R6" s="2" t="s">
        <v>15</v>
      </c>
      <c r="S6" s="3">
        <f>VLOOKUP(R6,Vorgabe_2016!$A$32:$B$33,2)</f>
        <v>0</v>
      </c>
      <c r="T6" s="5"/>
      <c r="U6" s="2" t="s">
        <v>15</v>
      </c>
      <c r="V6" s="3">
        <f>VLOOKUP(U6,Vorgabe_2016!$A$32:$B$33,2)</f>
        <v>0</v>
      </c>
      <c r="W6" s="5"/>
      <c r="X6" s="2" t="s">
        <v>15</v>
      </c>
      <c r="Y6" s="3">
        <f>VLOOKUP(X6,Vorgabe_2016!$A$32:$B$33,2)</f>
        <v>0</v>
      </c>
      <c r="Z6" s="5"/>
      <c r="AA6" s="2" t="s">
        <v>15</v>
      </c>
      <c r="AB6" s="3">
        <f>VLOOKUP(AA6,Vorgabe_2016!$A$32:$B$33,2)</f>
        <v>0</v>
      </c>
      <c r="AC6" s="5"/>
      <c r="AD6" s="2" t="s">
        <v>15</v>
      </c>
      <c r="AE6" s="3">
        <f>VLOOKUP(AD6,Vorgabe_2016!$A$32:$B$33,2)</f>
        <v>0</v>
      </c>
      <c r="AF6" s="5"/>
      <c r="AG6" s="2" t="s">
        <v>15</v>
      </c>
      <c r="AH6" s="3">
        <f>VLOOKUP(AG6,Vorgabe_2016!$A$32:$B$33,2)</f>
        <v>0</v>
      </c>
      <c r="AI6" s="5"/>
      <c r="AJ6" s="2" t="s">
        <v>15</v>
      </c>
      <c r="AK6" s="3">
        <f>VLOOKUP(AJ6,Vorgabe_2016!$A$32:$B$33,2)</f>
        <v>0</v>
      </c>
      <c r="AL6" s="5"/>
      <c r="AM6" s="2" t="s">
        <v>15</v>
      </c>
      <c r="AN6" s="3">
        <f>VLOOKUP(AM6,Vorgabe_2016!$A$32:$B$33,2)</f>
        <v>0</v>
      </c>
      <c r="AO6" s="5"/>
      <c r="AP6" s="2" t="s">
        <v>15</v>
      </c>
      <c r="AQ6" s="3">
        <f>VLOOKUP(AP6,Vorgabe_2016!$A$32:$B$33,2)</f>
        <v>0</v>
      </c>
      <c r="AR6" s="5"/>
      <c r="AS6" s="2" t="s">
        <v>15</v>
      </c>
      <c r="AT6" s="3">
        <f>VLOOKUP(AS6,Vorgabe_2016!$A$32:$B$33,2)</f>
        <v>0</v>
      </c>
      <c r="AU6" s="5"/>
    </row>
    <row r="7" spans="1:47" x14ac:dyDescent="0.25">
      <c r="E7" s="5"/>
      <c r="H7" s="5"/>
      <c r="K7" s="5"/>
      <c r="N7" s="5"/>
      <c r="Q7" s="5"/>
      <c r="T7" s="5"/>
      <c r="W7" s="5"/>
      <c r="Z7" s="5"/>
      <c r="AC7" s="5"/>
      <c r="AF7" s="5"/>
      <c r="AI7" s="5"/>
      <c r="AL7" s="5"/>
      <c r="AO7" s="5"/>
      <c r="AR7" s="5"/>
      <c r="AU7" s="5"/>
    </row>
    <row r="8" spans="1:47" ht="15.75" thickBot="1" x14ac:dyDescent="0.3">
      <c r="B8" s="1" t="s">
        <v>24</v>
      </c>
      <c r="D8" s="4"/>
      <c r="E8" s="5"/>
      <c r="G8" s="4">
        <f>SUM(G2:G7)</f>
        <v>9</v>
      </c>
      <c r="H8" s="5"/>
      <c r="J8" s="4"/>
      <c r="K8" s="5"/>
      <c r="M8" s="4">
        <f>SUM(M2:M7)</f>
        <v>8.5</v>
      </c>
      <c r="N8" s="5"/>
      <c r="P8" s="4">
        <f>SUM(P2:P7)</f>
        <v>10</v>
      </c>
      <c r="Q8" s="5"/>
      <c r="S8" s="4">
        <f>SUM(S2:S7)</f>
        <v>9</v>
      </c>
      <c r="T8" s="5"/>
      <c r="V8" s="4">
        <f>SUM(V2:V7)</f>
        <v>8.5</v>
      </c>
      <c r="W8" s="5"/>
      <c r="Y8" s="4">
        <f>SUM(Y2:Y7)</f>
        <v>10</v>
      </c>
      <c r="Z8" s="5"/>
      <c r="AB8" s="4">
        <f>SUM(AB2:AB7)</f>
        <v>10</v>
      </c>
      <c r="AC8" s="5"/>
      <c r="AE8" s="4">
        <f>SUM(AE2:AE7)</f>
        <v>9.5</v>
      </c>
      <c r="AF8" s="5"/>
      <c r="AH8" s="4">
        <f>SUM(AH2:AH7)</f>
        <v>6.5</v>
      </c>
      <c r="AI8" s="5"/>
      <c r="AK8" s="4">
        <f>SUM(AK2:AK7)</f>
        <v>8</v>
      </c>
      <c r="AL8" s="5"/>
      <c r="AN8" s="4">
        <f>SUM(AN2:AN7)</f>
        <v>6.5</v>
      </c>
      <c r="AO8" s="5"/>
      <c r="AQ8" s="4">
        <f>SUM(AQ2:AQ7)</f>
        <v>5.5</v>
      </c>
      <c r="AR8" s="5"/>
      <c r="AT8" s="4">
        <f>SUM(AT2:AT7)</f>
        <v>5</v>
      </c>
      <c r="AU8" s="5"/>
    </row>
    <row r="9" spans="1:47" ht="15.75" thickTop="1" x14ac:dyDescent="0.25">
      <c r="D9" s="11"/>
      <c r="E9" s="5"/>
      <c r="G9" s="11"/>
      <c r="H9" s="5"/>
      <c r="J9" s="11"/>
      <c r="K9" s="5"/>
      <c r="M9" s="11"/>
      <c r="N9" s="5"/>
      <c r="P9" s="11"/>
      <c r="Q9" s="5"/>
      <c r="S9" s="11"/>
      <c r="T9" s="5"/>
      <c r="V9" s="11"/>
      <c r="W9" s="5"/>
      <c r="Y9" s="11"/>
      <c r="Z9" s="5"/>
      <c r="AB9" s="11"/>
      <c r="AC9" s="5"/>
      <c r="AD9" s="1" t="s">
        <v>25</v>
      </c>
      <c r="AE9" s="11">
        <v>3</v>
      </c>
      <c r="AF9" s="5"/>
      <c r="AG9" s="1" t="s">
        <v>25</v>
      </c>
      <c r="AH9" s="11">
        <v>3</v>
      </c>
      <c r="AI9" s="54"/>
      <c r="AK9" s="11"/>
      <c r="AL9" s="5"/>
      <c r="AN9" s="11"/>
      <c r="AO9" s="5"/>
      <c r="AQ9" s="11"/>
      <c r="AR9" s="5"/>
      <c r="AT9" s="11"/>
      <c r="AU9" s="5"/>
    </row>
    <row r="10" spans="1:47" x14ac:dyDescent="0.25">
      <c r="B10" s="3" t="s">
        <v>26</v>
      </c>
      <c r="D10" s="12"/>
      <c r="E10" s="5"/>
      <c r="G10" s="12">
        <f>G8*G16*G17</f>
        <v>1080</v>
      </c>
      <c r="H10" s="5"/>
      <c r="J10" s="12"/>
      <c r="K10" s="5"/>
      <c r="M10" s="12">
        <f>M8*M16*M17</f>
        <v>510</v>
      </c>
      <c r="N10" s="5"/>
      <c r="P10" s="12">
        <f>P8*P16*P17</f>
        <v>800</v>
      </c>
      <c r="Q10" s="5"/>
      <c r="S10" s="12">
        <f>S8*S16*S17</f>
        <v>720</v>
      </c>
      <c r="T10" s="5"/>
      <c r="V10" s="12">
        <f>V8*V16*V17</f>
        <v>340</v>
      </c>
      <c r="W10" s="5"/>
      <c r="Y10" s="12">
        <f>Y8*Y16*Y17</f>
        <v>1000</v>
      </c>
      <c r="Z10" s="5"/>
      <c r="AB10" s="12">
        <f>AB8*AB16*AB17</f>
        <v>800</v>
      </c>
      <c r="AC10" s="5"/>
      <c r="AE10" s="12">
        <f>AE8*AE16*AE17</f>
        <v>760</v>
      </c>
      <c r="AF10" s="5"/>
      <c r="AH10" s="12">
        <f>AH8*AH16*AH17</f>
        <v>260</v>
      </c>
      <c r="AI10" s="5"/>
      <c r="AK10" s="12"/>
      <c r="AL10" s="5"/>
      <c r="AN10" s="12"/>
      <c r="AO10" s="5"/>
      <c r="AQ10" s="12"/>
      <c r="AR10" s="5"/>
      <c r="AT10" s="12"/>
      <c r="AU10" s="5"/>
    </row>
    <row r="13" spans="1:47" s="6" customFormat="1" x14ac:dyDescent="0.25">
      <c r="A13" s="168" t="s">
        <v>28</v>
      </c>
      <c r="B13" s="6" t="s">
        <v>29</v>
      </c>
      <c r="D13" s="7">
        <v>7.5</v>
      </c>
      <c r="G13" s="8">
        <f>+G8</f>
        <v>9</v>
      </c>
      <c r="J13" s="7">
        <v>7.5</v>
      </c>
      <c r="M13" s="8">
        <f>+M8</f>
        <v>8.5</v>
      </c>
      <c r="P13" s="8">
        <f>+P8</f>
        <v>10</v>
      </c>
      <c r="S13" s="8">
        <f>+S8</f>
        <v>9</v>
      </c>
      <c r="V13" s="8">
        <f>+V8</f>
        <v>8.5</v>
      </c>
      <c r="Y13" s="8">
        <f>+Y8</f>
        <v>10</v>
      </c>
      <c r="AB13" s="8">
        <f>+AB8</f>
        <v>10</v>
      </c>
      <c r="AE13" s="8">
        <f>+AE8</f>
        <v>9.5</v>
      </c>
      <c r="AH13" s="8">
        <f>+AH8</f>
        <v>6.5</v>
      </c>
      <c r="AK13" s="7">
        <v>7.5</v>
      </c>
      <c r="AN13" s="7">
        <v>7.5</v>
      </c>
      <c r="AQ13" s="7">
        <v>2.5</v>
      </c>
      <c r="AT13" s="7">
        <v>2.5</v>
      </c>
    </row>
    <row r="14" spans="1:47" s="6" customFormat="1" x14ac:dyDescent="0.25">
      <c r="A14" s="168"/>
      <c r="B14" s="6" t="s">
        <v>30</v>
      </c>
      <c r="D14" s="8">
        <f>D13*4</f>
        <v>30</v>
      </c>
      <c r="G14" s="8"/>
      <c r="J14" s="8">
        <f>J13*4</f>
        <v>30</v>
      </c>
      <c r="M14" s="8"/>
      <c r="P14" s="8"/>
      <c r="S14" s="8"/>
      <c r="V14" s="8"/>
      <c r="Y14" s="8"/>
      <c r="AB14" s="8"/>
      <c r="AE14" s="8"/>
      <c r="AH14" s="8"/>
      <c r="AK14" s="8">
        <f t="shared" ref="AK14" si="0">AK13*4</f>
        <v>30</v>
      </c>
      <c r="AN14" s="8">
        <f t="shared" ref="AN14" si="1">AN13*4</f>
        <v>30</v>
      </c>
      <c r="AQ14" s="8">
        <f>AQ13*4</f>
        <v>10</v>
      </c>
      <c r="AT14" s="8">
        <f>AT13*4</f>
        <v>10</v>
      </c>
    </row>
    <row r="15" spans="1:47" s="6" customFormat="1" x14ac:dyDescent="0.25">
      <c r="A15" s="168"/>
    </row>
    <row r="16" spans="1:47" s="6" customFormat="1" x14ac:dyDescent="0.25">
      <c r="A16" s="168"/>
      <c r="B16" s="6" t="s">
        <v>31</v>
      </c>
      <c r="D16" s="9">
        <v>2</v>
      </c>
      <c r="G16" s="9">
        <v>3</v>
      </c>
      <c r="J16" s="9">
        <v>2</v>
      </c>
      <c r="M16" s="9">
        <v>1.5</v>
      </c>
      <c r="P16" s="9">
        <v>2</v>
      </c>
      <c r="S16" s="9">
        <v>2</v>
      </c>
      <c r="V16" s="9">
        <v>1</v>
      </c>
      <c r="Y16" s="9">
        <v>2.5</v>
      </c>
      <c r="AB16" s="9">
        <v>2</v>
      </c>
      <c r="AE16" s="9">
        <v>2</v>
      </c>
      <c r="AH16" s="9">
        <v>1</v>
      </c>
      <c r="AK16" s="9">
        <v>2</v>
      </c>
      <c r="AN16" s="9">
        <v>2</v>
      </c>
      <c r="AQ16" s="9">
        <v>2</v>
      </c>
      <c r="AT16" s="9">
        <v>2</v>
      </c>
    </row>
    <row r="17" spans="1:47" s="6" customFormat="1" x14ac:dyDescent="0.25">
      <c r="A17" s="168"/>
      <c r="B17" s="6" t="s">
        <v>119</v>
      </c>
      <c r="D17" s="9">
        <v>40</v>
      </c>
      <c r="G17" s="9">
        <f>+$D$17</f>
        <v>40</v>
      </c>
      <c r="J17" s="9">
        <v>40</v>
      </c>
      <c r="M17" s="9">
        <f>+$D$17</f>
        <v>40</v>
      </c>
      <c r="P17" s="9">
        <f>+$D$17</f>
        <v>40</v>
      </c>
      <c r="S17" s="9">
        <f>+$D$17</f>
        <v>40</v>
      </c>
      <c r="V17" s="9">
        <f>+$D$17</f>
        <v>40</v>
      </c>
      <c r="Y17" s="9">
        <f>+$D$17</f>
        <v>40</v>
      </c>
      <c r="AB17" s="9">
        <f>+$D$17</f>
        <v>40</v>
      </c>
      <c r="AE17" s="9">
        <f>+$D$17</f>
        <v>40</v>
      </c>
      <c r="AH17" s="9">
        <f>+$D$17</f>
        <v>40</v>
      </c>
      <c r="AK17" s="9">
        <v>40</v>
      </c>
      <c r="AN17" s="9">
        <v>40</v>
      </c>
      <c r="AQ17" s="9">
        <v>40</v>
      </c>
      <c r="AT17" s="9">
        <v>40</v>
      </c>
    </row>
    <row r="18" spans="1:47" s="10" customFormat="1" x14ac:dyDescent="0.25">
      <c r="A18" s="169"/>
      <c r="B18" s="10" t="s">
        <v>33</v>
      </c>
      <c r="D18" s="10">
        <f>D14*11</f>
        <v>330</v>
      </c>
      <c r="G18" s="10">
        <f>G17*G16*G13</f>
        <v>1080</v>
      </c>
      <c r="J18" s="10">
        <f>J14*11</f>
        <v>330</v>
      </c>
      <c r="M18" s="10">
        <f>M17*M16*M13</f>
        <v>510</v>
      </c>
      <c r="P18" s="10">
        <f>P17*P16*P13</f>
        <v>800</v>
      </c>
      <c r="S18" s="10">
        <f>S17*S16*S13</f>
        <v>720</v>
      </c>
      <c r="V18" s="10">
        <f>V17*V16*V13</f>
        <v>340</v>
      </c>
      <c r="Y18" s="10">
        <f>Y17*Y16*Y13</f>
        <v>1000</v>
      </c>
      <c r="AB18" s="10">
        <f>AB17*AB16*AB13</f>
        <v>800</v>
      </c>
      <c r="AE18" s="10">
        <f>AE17*AE16*AE13</f>
        <v>760</v>
      </c>
      <c r="AH18" s="10">
        <f>AH17*AH16*AH13</f>
        <v>260</v>
      </c>
      <c r="AK18" s="10">
        <f t="shared" ref="AK18" si="2">AK14*11</f>
        <v>330</v>
      </c>
      <c r="AN18" s="10">
        <f t="shared" ref="AN18" si="3">AN14*11</f>
        <v>330</v>
      </c>
      <c r="AQ18" s="10">
        <f t="shared" ref="AQ18" si="4">AQ14*11</f>
        <v>110</v>
      </c>
      <c r="AT18" s="10">
        <f t="shared" ref="AT18" si="5">AT14*11</f>
        <v>110</v>
      </c>
    </row>
    <row r="19" spans="1:47" s="3" customFormat="1" x14ac:dyDescent="0.25">
      <c r="A19" s="35"/>
    </row>
    <row r="20" spans="1:47" ht="8.4499999999999993" customHeight="1" x14ac:dyDescent="0.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2" spans="1:47" ht="15.75" thickBot="1" x14ac:dyDescent="0.3">
      <c r="B22" s="6"/>
      <c r="C22" s="51" t="s">
        <v>34</v>
      </c>
      <c r="D22" s="13">
        <f>SUM(D18:AAC18)</f>
        <v>7810</v>
      </c>
    </row>
    <row r="23" spans="1:47" ht="15.75" thickTop="1" x14ac:dyDescent="0.25"/>
    <row r="24" spans="1:47" x14ac:dyDescent="0.25">
      <c r="B24" s="1" t="s">
        <v>35</v>
      </c>
      <c r="G24" s="12"/>
    </row>
    <row r="25" spans="1:47" x14ac:dyDescent="0.25">
      <c r="B25" s="32" t="s">
        <v>118</v>
      </c>
    </row>
    <row r="26" spans="1:47" x14ac:dyDescent="0.25">
      <c r="B26" s="33" t="s">
        <v>47</v>
      </c>
    </row>
    <row r="27" spans="1:47" x14ac:dyDescent="0.25">
      <c r="B27" s="33" t="s">
        <v>9</v>
      </c>
    </row>
    <row r="28" spans="1:47" x14ac:dyDescent="0.25">
      <c r="B28" s="33" t="s">
        <v>53</v>
      </c>
    </row>
    <row r="29" spans="1:47" x14ac:dyDescent="0.25">
      <c r="B29" s="33" t="s">
        <v>120</v>
      </c>
    </row>
  </sheetData>
  <sheetProtection selectLockedCells="1"/>
  <mergeCells count="16">
    <mergeCell ref="AM1:AN1"/>
    <mergeCell ref="AP1:AQ1"/>
    <mergeCell ref="AS1:AT1"/>
    <mergeCell ref="A13:A18"/>
    <mergeCell ref="U1:V1"/>
    <mergeCell ref="X1:Y1"/>
    <mergeCell ref="AA1:AB1"/>
    <mergeCell ref="AD1:AE1"/>
    <mergeCell ref="AG1:AH1"/>
    <mergeCell ref="AJ1:AK1"/>
    <mergeCell ref="C1:D1"/>
    <mergeCell ref="F1:G1"/>
    <mergeCell ref="I1:J1"/>
    <mergeCell ref="L1:M1"/>
    <mergeCell ref="O1:P1"/>
    <mergeCell ref="R1:S1"/>
  </mergeCells>
  <dataValidations count="5">
    <dataValidation type="list" allowBlank="1" showInputMessage="1" showErrorMessage="1" sqref="X3 AA3 AD3 O3 L3 I3 F3 C3 U3 R3 AG3 AJ3 AM3 AP3 AS3" xr:uid="{00000000-0002-0000-0600-000000000000}">
      <formula1>Lizenz</formula1>
    </dataValidation>
    <dataValidation type="list" allowBlank="1" showInputMessage="1" showErrorMessage="1" sqref="X6 AA6 AD6 O6 L6 I6 F6 C6 U6 R6 AG6 AJ6 AM6 AP6 AS6" xr:uid="{00000000-0002-0000-0600-000001000000}">
      <formula1>Wettkampfbeteiligung</formula1>
    </dataValidation>
    <dataValidation type="list" allowBlank="1" showInputMessage="1" showErrorMessage="1" sqref="X5 AA5 AD5 O5 L5 I5 F5 C5 U5 R5 AG5 AJ5 AM5 AP5 AS5" xr:uid="{00000000-0002-0000-0600-000002000000}">
      <formula1>Gruppengröße</formula1>
    </dataValidation>
    <dataValidation type="list" allowBlank="1" showInputMessage="1" showErrorMessage="1" sqref="X4 AA4 AD4 O4 L4 I4 F4 C4 U4 R4 AG4 AJ4 AM4 AP4 AS4" xr:uid="{00000000-0002-0000-0600-000003000000}">
      <formula1>Erfahrung</formula1>
    </dataValidation>
    <dataValidation type="list" allowBlank="1" showInputMessage="1" showErrorMessage="1" sqref="X2 AA2 AD2 O2 L2 I2 F2 C2 U2 R2 AG2 AJ2 AM2 AP2 AS2" xr:uid="{00000000-0002-0000-0600-000004000000}">
      <formula1>AusbildungSTV</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14" max="37" man="1"/>
    <brk id="26" max="37" man="1"/>
    <brk id="38" max="3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
  <sheetViews>
    <sheetView workbookViewId="0">
      <selection activeCell="AD5" sqref="AD5"/>
    </sheetView>
  </sheetViews>
  <sheetFormatPr baseColWidth="10" defaultColWidth="11.42578125" defaultRowHeight="15" x14ac:dyDescent="0.25"/>
  <cols>
    <col min="1" max="2" width="28.140625" bestFit="1" customWidth="1"/>
    <col min="3" max="3" width="31.28515625" bestFit="1" customWidth="1"/>
  </cols>
  <sheetData>
    <row r="1" spans="1:11" x14ac:dyDescent="0.25">
      <c r="A1" t="s">
        <v>137</v>
      </c>
      <c r="B1" t="s">
        <v>138</v>
      </c>
      <c r="C1" t="s">
        <v>139</v>
      </c>
      <c r="D1" t="s">
        <v>140</v>
      </c>
      <c r="E1" t="s">
        <v>141</v>
      </c>
      <c r="F1" t="s">
        <v>142</v>
      </c>
      <c r="G1" t="s">
        <v>143</v>
      </c>
      <c r="H1" t="s">
        <v>144</v>
      </c>
      <c r="I1" t="s">
        <v>145</v>
      </c>
      <c r="J1" t="s">
        <v>146</v>
      </c>
      <c r="K1" t="s">
        <v>147</v>
      </c>
    </row>
    <row r="2" spans="1:11" x14ac:dyDescent="0.25">
      <c r="A2" t="s">
        <v>0</v>
      </c>
      <c r="B2" t="s">
        <v>148</v>
      </c>
      <c r="C2" t="s">
        <v>149</v>
      </c>
      <c r="D2" s="65">
        <f>+Berechnung_2016!G2</f>
        <v>4.5</v>
      </c>
      <c r="E2" s="65">
        <f>+Berechnung_2016!G3</f>
        <v>0</v>
      </c>
      <c r="F2" s="65">
        <f>+Berechnung_2016!G4</f>
        <v>2</v>
      </c>
      <c r="G2" s="65">
        <f>+Berechnung_2016!G5</f>
        <v>2.5</v>
      </c>
      <c r="H2" s="65">
        <f>+Berechnung_2016!G6</f>
        <v>0</v>
      </c>
      <c r="I2" s="65">
        <f>SUM(D2:H2)</f>
        <v>9</v>
      </c>
      <c r="K2" t="s">
        <v>150</v>
      </c>
    </row>
    <row r="3" spans="1:11" x14ac:dyDescent="0.25">
      <c r="A3" t="s">
        <v>1</v>
      </c>
      <c r="B3" t="s">
        <v>151</v>
      </c>
      <c r="C3" t="s">
        <v>152</v>
      </c>
      <c r="D3" s="65">
        <f>+Berechnung_2016!M2</f>
        <v>4.5</v>
      </c>
      <c r="E3" s="65">
        <f>+Berechnung_2016!M3</f>
        <v>0</v>
      </c>
      <c r="F3" s="65">
        <f>+Berechnung_2016!M4</f>
        <v>2</v>
      </c>
      <c r="G3" s="65">
        <f>+Berechnung_2016!M5</f>
        <v>2</v>
      </c>
      <c r="H3" s="65">
        <f>+Berechnung_2016!M6</f>
        <v>0</v>
      </c>
      <c r="I3" s="65">
        <f t="shared" ref="I3:I9" si="0">SUM(D3:H3)</f>
        <v>8.5</v>
      </c>
    </row>
    <row r="4" spans="1:11" x14ac:dyDescent="0.25">
      <c r="A4" t="s">
        <v>153</v>
      </c>
      <c r="B4" t="s">
        <v>154</v>
      </c>
      <c r="C4" t="s">
        <v>155</v>
      </c>
      <c r="D4" s="65">
        <f>+Berechnung_2016!AE2</f>
        <v>4.5</v>
      </c>
      <c r="E4" s="65">
        <f>+Berechnung_2016!AE3</f>
        <v>1.5</v>
      </c>
      <c r="F4" s="65">
        <f>+Berechnung_2016!AE4</f>
        <v>1</v>
      </c>
      <c r="G4" s="65">
        <f>+Berechnung_2016!AE5</f>
        <v>2.5</v>
      </c>
      <c r="H4" s="65">
        <f>+Berechnung_2016!AE6</f>
        <v>0</v>
      </c>
      <c r="I4" s="65">
        <f t="shared" si="0"/>
        <v>9.5</v>
      </c>
    </row>
    <row r="5" spans="1:11" x14ac:dyDescent="0.25">
      <c r="A5" t="s">
        <v>2</v>
      </c>
      <c r="B5" t="s">
        <v>156</v>
      </c>
      <c r="C5" t="s">
        <v>157</v>
      </c>
      <c r="D5" s="65">
        <f>+Berechnung_2016!P2</f>
        <v>4.5</v>
      </c>
      <c r="E5" s="65">
        <f>+Berechnung_2016!P3</f>
        <v>1.5</v>
      </c>
      <c r="F5" s="65">
        <f>+Berechnung_2016!P4</f>
        <v>2</v>
      </c>
      <c r="G5" s="65">
        <f>+Berechnung_2016!P5</f>
        <v>2</v>
      </c>
      <c r="H5" s="65">
        <f>+Berechnung_2016!P6</f>
        <v>0</v>
      </c>
      <c r="I5" s="65">
        <f t="shared" si="0"/>
        <v>10</v>
      </c>
    </row>
    <row r="6" spans="1:11" x14ac:dyDescent="0.25">
      <c r="A6" t="s">
        <v>8</v>
      </c>
      <c r="B6" t="s">
        <v>158</v>
      </c>
      <c r="C6" t="s">
        <v>159</v>
      </c>
      <c r="D6" s="65">
        <f>+Berechnung_2016!AH2</f>
        <v>4.5</v>
      </c>
      <c r="E6" s="65">
        <f>+Berechnung_2016!AH3</f>
        <v>1.5</v>
      </c>
      <c r="F6" s="65">
        <f>+Berechnung_2016!AH4</f>
        <v>1</v>
      </c>
      <c r="G6" s="65">
        <f>+Berechnung_2016!AH5</f>
        <v>2</v>
      </c>
      <c r="H6" s="65">
        <f>+Berechnung_2016!AH6</f>
        <v>0</v>
      </c>
      <c r="I6" s="65">
        <f t="shared" si="0"/>
        <v>9</v>
      </c>
    </row>
    <row r="7" spans="1:11" x14ac:dyDescent="0.25">
      <c r="A7" t="s">
        <v>4</v>
      </c>
      <c r="B7" t="s">
        <v>160</v>
      </c>
      <c r="C7" t="s">
        <v>161</v>
      </c>
      <c r="D7" s="65">
        <f>+Berechnung_2016!V2</f>
        <v>4.5</v>
      </c>
      <c r="E7" s="65">
        <f>+Berechnung_2016!V3</f>
        <v>1.5</v>
      </c>
      <c r="F7" s="65">
        <f>+Berechnung_2016!V4</f>
        <v>1.5</v>
      </c>
      <c r="G7" s="65">
        <f>+Berechnung_2016!V5</f>
        <v>1</v>
      </c>
      <c r="I7" s="65">
        <f t="shared" si="0"/>
        <v>8.5</v>
      </c>
    </row>
    <row r="8" spans="1:11" x14ac:dyDescent="0.25">
      <c r="A8" t="s">
        <v>5</v>
      </c>
      <c r="B8" t="s">
        <v>162</v>
      </c>
      <c r="C8" t="s">
        <v>163</v>
      </c>
      <c r="D8" s="65">
        <f>+Berechnung_2016!Y2</f>
        <v>4.5</v>
      </c>
      <c r="E8" s="65">
        <f>+Berechnung_2016!Y3</f>
        <v>1.5</v>
      </c>
      <c r="F8" s="65">
        <f>+Berechnung_2016!Y4</f>
        <v>2</v>
      </c>
      <c r="G8" s="65">
        <f>+Berechnung_2016!Y5</f>
        <v>2</v>
      </c>
      <c r="H8" s="65">
        <f>+Berechnung_2016!Y6</f>
        <v>0</v>
      </c>
      <c r="I8" s="65">
        <f t="shared" si="0"/>
        <v>10</v>
      </c>
      <c r="K8" t="s">
        <v>150</v>
      </c>
    </row>
    <row r="9" spans="1:11" x14ac:dyDescent="0.25">
      <c r="A9" t="s">
        <v>6</v>
      </c>
      <c r="B9" t="s">
        <v>164</v>
      </c>
      <c r="C9" t="s">
        <v>165</v>
      </c>
      <c r="D9" s="65">
        <f>+Berechnung_2016!AB2</f>
        <v>4.5</v>
      </c>
      <c r="E9" s="65">
        <f>+Berechnung_2016!AB3</f>
        <v>1.5</v>
      </c>
      <c r="F9" s="65">
        <f>+Berechnung_2016!AB4</f>
        <v>2</v>
      </c>
      <c r="G9" s="65">
        <f>+Berechnung_2016!AB5</f>
        <v>2</v>
      </c>
      <c r="H9" s="65">
        <f>+Berechnung_2016!AB6</f>
        <v>0</v>
      </c>
      <c r="I9" s="65">
        <f t="shared" si="0"/>
        <v>10</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
  <sheetViews>
    <sheetView workbookViewId="0">
      <selection activeCell="AD5" sqref="AD5"/>
    </sheetView>
  </sheetViews>
  <sheetFormatPr baseColWidth="10" defaultColWidth="11.42578125" defaultRowHeight="15" x14ac:dyDescent="0.25"/>
  <cols>
    <col min="1" max="2" width="28.140625" bestFit="1" customWidth="1"/>
    <col min="3" max="3" width="31.28515625" bestFit="1" customWidth="1"/>
  </cols>
  <sheetData>
    <row r="1" spans="1:11" x14ac:dyDescent="0.25">
      <c r="A1" t="s">
        <v>137</v>
      </c>
      <c r="B1" t="s">
        <v>138</v>
      </c>
      <c r="C1" t="s">
        <v>139</v>
      </c>
      <c r="D1" t="s">
        <v>140</v>
      </c>
      <c r="E1" t="s">
        <v>141</v>
      </c>
      <c r="F1" t="s">
        <v>142</v>
      </c>
      <c r="G1" t="s">
        <v>143</v>
      </c>
      <c r="H1" t="s">
        <v>144</v>
      </c>
      <c r="I1" t="s">
        <v>145</v>
      </c>
      <c r="J1" t="s">
        <v>146</v>
      </c>
      <c r="K1" t="s">
        <v>147</v>
      </c>
    </row>
    <row r="2" spans="1:11" x14ac:dyDescent="0.25">
      <c r="A2" t="s">
        <v>47</v>
      </c>
      <c r="B2" t="s">
        <v>166</v>
      </c>
      <c r="C2" t="s">
        <v>167</v>
      </c>
      <c r="I2" s="65">
        <f t="shared" ref="I2" si="0">SUM(D2:H2)</f>
        <v>0</v>
      </c>
      <c r="J2" s="65">
        <v>30</v>
      </c>
    </row>
    <row r="3" spans="1:11" x14ac:dyDescent="0.25">
      <c r="A3" t="s">
        <v>118</v>
      </c>
      <c r="B3" t="s">
        <v>168</v>
      </c>
      <c r="C3" t="s">
        <v>169</v>
      </c>
      <c r="I3" s="65">
        <f t="shared" ref="I3:I5" si="1">SUM(D3:H3)</f>
        <v>0</v>
      </c>
      <c r="J3" s="65">
        <v>30</v>
      </c>
    </row>
    <row r="4" spans="1:11" x14ac:dyDescent="0.25">
      <c r="A4" t="s">
        <v>9</v>
      </c>
      <c r="B4" t="s">
        <v>170</v>
      </c>
      <c r="C4" t="s">
        <v>171</v>
      </c>
      <c r="D4" s="65">
        <f>+Berechnung_2016!AK2</f>
        <v>4.5</v>
      </c>
      <c r="E4" s="65">
        <f>+Berechnung_2016!AK3</f>
        <v>1.5</v>
      </c>
      <c r="F4" s="65">
        <f>+Berechnung_2016!AK4</f>
        <v>1</v>
      </c>
      <c r="G4" s="65">
        <f>+Berechnung_2016!AK5</f>
        <v>1</v>
      </c>
      <c r="H4" s="65">
        <f>+Berechnung_2016!AK6</f>
        <v>0</v>
      </c>
      <c r="I4" s="65">
        <f t="shared" si="1"/>
        <v>8</v>
      </c>
      <c r="J4" s="65">
        <v>30</v>
      </c>
    </row>
    <row r="5" spans="1:11" x14ac:dyDescent="0.25">
      <c r="A5" t="s">
        <v>53</v>
      </c>
      <c r="B5" t="s">
        <v>172</v>
      </c>
      <c r="I5" s="65">
        <f t="shared" si="1"/>
        <v>0</v>
      </c>
      <c r="J5" s="65">
        <v>30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29"/>
  <sheetViews>
    <sheetView zoomScaleNormal="100" workbookViewId="0">
      <pane xSplit="2" ySplit="1" topLeftCell="AC2" activePane="bottomRight" state="frozen"/>
      <selection pane="topRight" activeCell="AD5" sqref="AD5"/>
      <selection pane="bottomLeft" activeCell="AD5" sqref="AD5"/>
      <selection pane="bottomRight" activeCell="AD5" sqref="AD5"/>
    </sheetView>
  </sheetViews>
  <sheetFormatPr baseColWidth="10" defaultColWidth="11.5703125" defaultRowHeight="15" x14ac:dyDescent="0.25"/>
  <cols>
    <col min="1" max="1" width="5.28515625" style="1" customWidth="1"/>
    <col min="2" max="2" width="30.42578125" style="1" customWidth="1"/>
    <col min="3" max="3" width="18.140625" style="1" customWidth="1"/>
    <col min="4" max="4" width="11.5703125" style="1"/>
    <col min="5" max="5" width="4" style="1" customWidth="1"/>
    <col min="6" max="6" width="18.140625" style="1" customWidth="1"/>
    <col min="7" max="7" width="11.5703125" style="1"/>
    <col min="8" max="8" width="4" style="1" customWidth="1"/>
    <col min="9" max="9" width="18.140625" style="1" customWidth="1"/>
    <col min="10" max="10" width="11.5703125" style="1"/>
    <col min="11" max="11" width="4" style="1" customWidth="1"/>
    <col min="12" max="12" width="18.140625" style="1" customWidth="1"/>
    <col min="13" max="13" width="11.5703125" style="1"/>
    <col min="14" max="14" width="4" style="1" customWidth="1"/>
    <col min="15" max="15" width="18.140625" style="1" customWidth="1"/>
    <col min="16" max="16" width="11.5703125" style="1"/>
    <col min="17" max="17" width="4" style="1" customWidth="1"/>
    <col min="18" max="18" width="18.140625" style="1" customWidth="1"/>
    <col min="19" max="19" width="11.5703125" style="1"/>
    <col min="20" max="20" width="4" style="1" customWidth="1"/>
    <col min="21" max="21" width="18.140625" style="1" customWidth="1"/>
    <col min="22" max="22" width="11.5703125" style="1"/>
    <col min="23" max="23" width="4" style="1" customWidth="1"/>
    <col min="24" max="24" width="18.140625" style="1" customWidth="1"/>
    <col min="25" max="25" width="11.5703125" style="1"/>
    <col min="26" max="26" width="4" style="1" customWidth="1"/>
    <col min="27" max="27" width="18.140625" style="1" customWidth="1"/>
    <col min="28" max="28" width="11.5703125" style="1"/>
    <col min="29" max="29" width="4" style="1" customWidth="1"/>
    <col min="30" max="30" width="18.140625" style="1" customWidth="1"/>
    <col min="31" max="31" width="11.5703125" style="1"/>
    <col min="32" max="32" width="4" style="1" customWidth="1"/>
    <col min="33" max="33" width="18.140625" style="1" customWidth="1"/>
    <col min="34" max="34" width="11.5703125" style="1"/>
    <col min="35" max="35" width="4" style="1" customWidth="1"/>
    <col min="36" max="36" width="18.140625" style="1" customWidth="1"/>
    <col min="37" max="37" width="11.5703125" style="1"/>
    <col min="38" max="38" width="4" style="1" customWidth="1"/>
    <col min="39" max="39" width="18.140625" style="1" customWidth="1"/>
    <col min="40" max="40" width="11.5703125" style="1"/>
    <col min="41" max="41" width="4" style="1" customWidth="1"/>
    <col min="42" max="42" width="18.140625" style="1" customWidth="1"/>
    <col min="43" max="43" width="11.5703125" style="1"/>
    <col min="44" max="44" width="4" style="1" customWidth="1"/>
    <col min="45" max="45" width="18.140625" style="1" customWidth="1"/>
    <col min="46" max="46" width="11.5703125" style="1"/>
    <col min="47" max="47" width="4" style="1" customWidth="1"/>
    <col min="48" max="16384" width="11.5703125" style="1"/>
  </cols>
  <sheetData>
    <row r="1" spans="1:47" x14ac:dyDescent="0.25">
      <c r="C1" s="167" t="s">
        <v>47</v>
      </c>
      <c r="D1" s="167"/>
      <c r="E1" s="5"/>
      <c r="F1" s="167" t="s">
        <v>0</v>
      </c>
      <c r="G1" s="167"/>
      <c r="H1" s="5"/>
      <c r="I1" s="167" t="s">
        <v>118</v>
      </c>
      <c r="J1" s="167"/>
      <c r="K1" s="5"/>
      <c r="L1" s="167" t="s">
        <v>1</v>
      </c>
      <c r="M1" s="167"/>
      <c r="N1" s="5"/>
      <c r="O1" s="167" t="s">
        <v>2</v>
      </c>
      <c r="P1" s="167"/>
      <c r="Q1" s="5"/>
      <c r="R1" s="167" t="s">
        <v>3</v>
      </c>
      <c r="S1" s="167"/>
      <c r="T1" s="5"/>
      <c r="U1" s="167" t="s">
        <v>4</v>
      </c>
      <c r="V1" s="167"/>
      <c r="W1" s="5"/>
      <c r="X1" s="167" t="s">
        <v>5</v>
      </c>
      <c r="Y1" s="167"/>
      <c r="Z1" s="5"/>
      <c r="AA1" s="167" t="s">
        <v>6</v>
      </c>
      <c r="AB1" s="167"/>
      <c r="AC1" s="5"/>
      <c r="AD1" s="167" t="s">
        <v>7</v>
      </c>
      <c r="AE1" s="167"/>
      <c r="AF1" s="5"/>
      <c r="AG1" s="167" t="s">
        <v>8</v>
      </c>
      <c r="AH1" s="167"/>
      <c r="AI1" s="5"/>
      <c r="AJ1" s="167" t="s">
        <v>9</v>
      </c>
      <c r="AK1" s="167"/>
      <c r="AL1" s="5"/>
      <c r="AM1" s="167" t="s">
        <v>120</v>
      </c>
      <c r="AN1" s="167"/>
      <c r="AO1" s="5"/>
      <c r="AP1" s="167" t="s">
        <v>53</v>
      </c>
      <c r="AQ1" s="167"/>
      <c r="AR1" s="5"/>
      <c r="AS1" s="167" t="s">
        <v>12</v>
      </c>
      <c r="AT1" s="167"/>
      <c r="AU1" s="5"/>
    </row>
    <row r="2" spans="1:47" x14ac:dyDescent="0.25">
      <c r="B2" s="1" t="str">
        <f>+Vorgabe_2016!A3</f>
        <v>1. Ausbildung</v>
      </c>
      <c r="C2" s="2" t="s">
        <v>14</v>
      </c>
      <c r="D2" s="3">
        <f>VLOOKUP(C2,Vorgabe_2016!$A$4:$B$8,2)</f>
        <v>3.5</v>
      </c>
      <c r="E2" s="5"/>
      <c r="F2" s="2" t="s">
        <v>13</v>
      </c>
      <c r="G2" s="3">
        <f>VLOOKUP(F2,Vorgabe_2016!$A$4:$B$8,2)</f>
        <v>4.5</v>
      </c>
      <c r="H2" s="5"/>
      <c r="I2" s="2" t="s">
        <v>14</v>
      </c>
      <c r="J2" s="3">
        <f>VLOOKUP(I2,Vorgabe_2016!$A$4:$B$8,2)</f>
        <v>3.5</v>
      </c>
      <c r="K2" s="5"/>
      <c r="L2" s="2" t="s">
        <v>13</v>
      </c>
      <c r="M2" s="3">
        <f>VLOOKUP(L2,Vorgabe_2016!$A$4:$B$8,2)</f>
        <v>4.5</v>
      </c>
      <c r="N2" s="5"/>
      <c r="O2" s="2" t="s">
        <v>13</v>
      </c>
      <c r="P2" s="3">
        <f>VLOOKUP(O2,Vorgabe_2016!$A$4:$B$8,2)</f>
        <v>4.5</v>
      </c>
      <c r="Q2" s="5"/>
      <c r="R2" s="2" t="s">
        <v>13</v>
      </c>
      <c r="S2" s="3">
        <f>VLOOKUP(R2,Vorgabe_2016!$A$4:$B$8,2)</f>
        <v>4.5</v>
      </c>
      <c r="T2" s="5"/>
      <c r="U2" s="2" t="s">
        <v>13</v>
      </c>
      <c r="V2" s="3">
        <f>VLOOKUP(U2,Vorgabe_2016!$A$4:$B$8,2)</f>
        <v>4.5</v>
      </c>
      <c r="W2" s="5"/>
      <c r="X2" s="2" t="s">
        <v>13</v>
      </c>
      <c r="Y2" s="3">
        <f>VLOOKUP(X2,Vorgabe_2016!$A$4:$B$8,2)</f>
        <v>4.5</v>
      </c>
      <c r="Z2" s="5"/>
      <c r="AA2" s="2" t="s">
        <v>13</v>
      </c>
      <c r="AB2" s="3">
        <f>VLOOKUP(AA2,Vorgabe_2016!$A$4:$B$8,2)</f>
        <v>4.5</v>
      </c>
      <c r="AC2" s="5"/>
      <c r="AD2" s="2" t="s">
        <v>13</v>
      </c>
      <c r="AE2" s="3">
        <f>VLOOKUP(AD2,Vorgabe_2016!$A$4:$B$8,2)</f>
        <v>4.5</v>
      </c>
      <c r="AF2" s="5"/>
      <c r="AG2" s="2" t="s">
        <v>13</v>
      </c>
      <c r="AH2" s="3">
        <f>VLOOKUP(AG2,Vorgabe_2016!$A$4:$B$8,2)</f>
        <v>4.5</v>
      </c>
      <c r="AI2" s="5"/>
      <c r="AJ2" s="2" t="s">
        <v>13</v>
      </c>
      <c r="AK2" s="3">
        <f>VLOOKUP(AJ2,Vorgabe_2016!$A$4:$B$8,2)</f>
        <v>4.5</v>
      </c>
      <c r="AL2" s="5"/>
      <c r="AM2" s="2" t="s">
        <v>13</v>
      </c>
      <c r="AN2" s="3">
        <f>VLOOKUP(AM2,Vorgabe_2016!$A$4:$B$8,2)</f>
        <v>4.5</v>
      </c>
      <c r="AO2" s="5"/>
      <c r="AP2" s="2" t="s">
        <v>14</v>
      </c>
      <c r="AQ2" s="3">
        <f>VLOOKUP(AP2,Vorgabe_2016!$A$4:$B$8,2)</f>
        <v>3.5</v>
      </c>
      <c r="AR2" s="5"/>
      <c r="AS2" s="2" t="s">
        <v>14</v>
      </c>
      <c r="AT2" s="3">
        <f>VLOOKUP(AS2,Vorgabe_2016!$A$4:$B$8,2)</f>
        <v>3.5</v>
      </c>
      <c r="AU2" s="5"/>
    </row>
    <row r="3" spans="1:47" x14ac:dyDescent="0.25">
      <c r="B3" s="1" t="str">
        <f>+Vorgabe_2016!A11</f>
        <v>2. gültige Lizenz</v>
      </c>
      <c r="C3" s="2" t="s">
        <v>15</v>
      </c>
      <c r="D3" s="3">
        <f>VLOOKUP(C3,Vorgabe_2016!$A$12:$B$13,2)</f>
        <v>0</v>
      </c>
      <c r="E3" s="5"/>
      <c r="F3" s="2" t="s">
        <v>15</v>
      </c>
      <c r="G3" s="3">
        <f>VLOOKUP(F3,Vorgabe_2016!$A$12:$B$13,2)</f>
        <v>0</v>
      </c>
      <c r="H3" s="5"/>
      <c r="I3" s="2" t="s">
        <v>15</v>
      </c>
      <c r="J3" s="3">
        <f>VLOOKUP(I3,Vorgabe_2016!$A$12:$B$13,2)</f>
        <v>0</v>
      </c>
      <c r="K3" s="5"/>
      <c r="L3" s="2" t="s">
        <v>15</v>
      </c>
      <c r="M3" s="3">
        <f>VLOOKUP(L3,Vorgabe_2016!$A$12:$B$13,2)</f>
        <v>0</v>
      </c>
      <c r="N3" s="5"/>
      <c r="O3" s="2" t="s">
        <v>16</v>
      </c>
      <c r="P3" s="3">
        <f>VLOOKUP(O3,Vorgabe_2016!$A$12:$B$13,2)</f>
        <v>1.5</v>
      </c>
      <c r="Q3" s="5"/>
      <c r="R3" s="2" t="s">
        <v>16</v>
      </c>
      <c r="S3" s="3">
        <f>VLOOKUP(R3,Vorgabe_2016!$A$12:$B$13,2)</f>
        <v>1.5</v>
      </c>
      <c r="T3" s="5"/>
      <c r="U3" s="2" t="s">
        <v>16</v>
      </c>
      <c r="V3" s="3">
        <f>VLOOKUP(U3,Vorgabe_2016!$A$12:$B$13,2)</f>
        <v>1.5</v>
      </c>
      <c r="W3" s="5"/>
      <c r="X3" s="2" t="s">
        <v>16</v>
      </c>
      <c r="Y3" s="3">
        <f>VLOOKUP(X3,Vorgabe_2016!$A$12:$B$13,2)</f>
        <v>1.5</v>
      </c>
      <c r="Z3" s="5"/>
      <c r="AA3" s="2" t="s">
        <v>16</v>
      </c>
      <c r="AB3" s="3">
        <f>VLOOKUP(AA3,Vorgabe_2016!$A$12:$B$13,2)</f>
        <v>1.5</v>
      </c>
      <c r="AC3" s="5"/>
      <c r="AD3" s="2" t="s">
        <v>16</v>
      </c>
      <c r="AE3" s="3">
        <f>VLOOKUP(AD3,Vorgabe_2016!$A$12:$B$13,2)</f>
        <v>1.5</v>
      </c>
      <c r="AF3" s="5"/>
      <c r="AG3" s="2" t="s">
        <v>16</v>
      </c>
      <c r="AH3" s="3">
        <f>VLOOKUP(AG3,Vorgabe_2016!$A$12:$B$13,2)</f>
        <v>1.5</v>
      </c>
      <c r="AI3" s="5"/>
      <c r="AJ3" s="2" t="s">
        <v>16</v>
      </c>
      <c r="AK3" s="3">
        <f>VLOOKUP(AJ3,Vorgabe_2016!$A$12:$B$13,2)</f>
        <v>1.5</v>
      </c>
      <c r="AL3" s="5"/>
      <c r="AM3" s="2" t="s">
        <v>15</v>
      </c>
      <c r="AN3" s="3">
        <f>VLOOKUP(AM3,Vorgabe_2016!$A$12:$B$13,2)</f>
        <v>0</v>
      </c>
      <c r="AO3" s="5"/>
      <c r="AP3" s="2" t="s">
        <v>15</v>
      </c>
      <c r="AQ3" s="3">
        <f>VLOOKUP(AP3,Vorgabe_2016!$A$12:$B$13,2)</f>
        <v>0</v>
      </c>
      <c r="AR3" s="5"/>
      <c r="AS3" s="2" t="s">
        <v>15</v>
      </c>
      <c r="AT3" s="3">
        <f>VLOOKUP(AS3,Vorgabe_2016!$A$12:$B$13,2)</f>
        <v>0</v>
      </c>
      <c r="AU3" s="5"/>
    </row>
    <row r="4" spans="1:47" x14ac:dyDescent="0.25">
      <c r="B4" s="1" t="str">
        <f>+Vorgabe_2016!A16</f>
        <v>3. Erfahrung</v>
      </c>
      <c r="C4" s="2" t="s">
        <v>17</v>
      </c>
      <c r="D4" s="3">
        <f>VLOOKUP(C4,Vorgabe_2016!$A$17:$B$20,2)</f>
        <v>2</v>
      </c>
      <c r="E4" s="5"/>
      <c r="F4" s="2" t="s">
        <v>17</v>
      </c>
      <c r="G4" s="3">
        <f>VLOOKUP(F4,Vorgabe_2016!$A$17:$B$20,2)</f>
        <v>2</v>
      </c>
      <c r="H4" s="5"/>
      <c r="I4" s="2" t="s">
        <v>17</v>
      </c>
      <c r="J4" s="3">
        <f>VLOOKUP(I4,Vorgabe_2016!$A$17:$B$20,2)</f>
        <v>2</v>
      </c>
      <c r="K4" s="5"/>
      <c r="L4" s="2" t="s">
        <v>17</v>
      </c>
      <c r="M4" s="3">
        <f>VLOOKUP(L4,Vorgabe_2016!$A$17:$B$20,2)</f>
        <v>2</v>
      </c>
      <c r="N4" s="5"/>
      <c r="O4" s="2" t="s">
        <v>17</v>
      </c>
      <c r="P4" s="3">
        <f>VLOOKUP(O4,Vorgabe_2016!$A$17:$B$20,2)</f>
        <v>2</v>
      </c>
      <c r="Q4" s="5"/>
      <c r="R4" s="2" t="s">
        <v>17</v>
      </c>
      <c r="S4" s="3">
        <f>VLOOKUP(R4,Vorgabe_2016!$A$17:$B$20,2)</f>
        <v>2</v>
      </c>
      <c r="T4" s="5"/>
      <c r="U4" s="2" t="s">
        <v>18</v>
      </c>
      <c r="V4" s="3">
        <f>VLOOKUP(U4,Vorgabe_2016!$A$17:$B$20,2)</f>
        <v>1.5</v>
      </c>
      <c r="W4" s="5"/>
      <c r="X4" s="2" t="s">
        <v>17</v>
      </c>
      <c r="Y4" s="3">
        <f>VLOOKUP(X4,Vorgabe_2016!$A$17:$B$20,2)</f>
        <v>2</v>
      </c>
      <c r="Z4" s="5"/>
      <c r="AA4" s="2" t="s">
        <v>17</v>
      </c>
      <c r="AB4" s="3">
        <f>VLOOKUP(AA4,Vorgabe_2016!$A$17:$B$20,2)</f>
        <v>2</v>
      </c>
      <c r="AC4" s="5"/>
      <c r="AD4" s="2" t="s">
        <v>19</v>
      </c>
      <c r="AE4" s="3">
        <f>VLOOKUP(AD4,Vorgabe_2016!$A$17:$B$20,2)</f>
        <v>1</v>
      </c>
      <c r="AF4" s="5"/>
      <c r="AG4" s="2" t="s">
        <v>19</v>
      </c>
      <c r="AH4" s="3">
        <f>VLOOKUP(AG4,Vorgabe_2016!$A$17:$B$20,2)</f>
        <v>1</v>
      </c>
      <c r="AI4" s="5"/>
      <c r="AJ4" s="2" t="s">
        <v>19</v>
      </c>
      <c r="AK4" s="3">
        <f>VLOOKUP(AJ4,Vorgabe_2016!$A$17:$B$20,2)</f>
        <v>1</v>
      </c>
      <c r="AL4" s="5"/>
      <c r="AM4" s="2" t="s">
        <v>19</v>
      </c>
      <c r="AN4" s="3">
        <f>VLOOKUP(AM4,Vorgabe_2016!$A$17:$B$20,2)</f>
        <v>1</v>
      </c>
      <c r="AO4" s="5"/>
      <c r="AP4" s="2" t="s">
        <v>20</v>
      </c>
      <c r="AQ4" s="3">
        <f>VLOOKUP(AP4,Vorgabe_2016!$A$17:$B$20,2)</f>
        <v>0.5</v>
      </c>
      <c r="AR4" s="5"/>
      <c r="AS4" s="2" t="s">
        <v>20</v>
      </c>
      <c r="AT4" s="3">
        <f>VLOOKUP(AS4,Vorgabe_2016!$A$17:$B$20,2)</f>
        <v>0.5</v>
      </c>
      <c r="AU4" s="5"/>
    </row>
    <row r="5" spans="1:47" x14ac:dyDescent="0.25">
      <c r="B5" s="1" t="str">
        <f>+Vorgabe_2016!A23</f>
        <v>4. Gruppengröße</v>
      </c>
      <c r="C5" s="2" t="s">
        <v>22</v>
      </c>
      <c r="D5" s="3">
        <f>VLOOKUP(C5,Vorgabe_2016!$A$24:$B$28,2)</f>
        <v>2</v>
      </c>
      <c r="E5" s="5"/>
      <c r="F5" s="2" t="s">
        <v>21</v>
      </c>
      <c r="G5" s="3">
        <f>VLOOKUP(F5,Vorgabe_2016!$A$24:$B$28,2)</f>
        <v>2.5</v>
      </c>
      <c r="H5" s="5"/>
      <c r="I5" s="2" t="s">
        <v>23</v>
      </c>
      <c r="J5" s="3">
        <f>VLOOKUP(I5,Vorgabe_2016!$A$24:$B$28,2)</f>
        <v>1</v>
      </c>
      <c r="K5" s="5"/>
      <c r="L5" s="2" t="s">
        <v>22</v>
      </c>
      <c r="M5" s="3">
        <f>VLOOKUP(L5,Vorgabe_2016!$A$24:$B$28,2)</f>
        <v>2</v>
      </c>
      <c r="N5" s="5"/>
      <c r="O5" s="2" t="s">
        <v>22</v>
      </c>
      <c r="P5" s="3">
        <f>VLOOKUP(O5,Vorgabe_2016!$A$24:$B$28,2)</f>
        <v>2</v>
      </c>
      <c r="Q5" s="5"/>
      <c r="R5" s="2" t="s">
        <v>23</v>
      </c>
      <c r="S5" s="3">
        <f>VLOOKUP(R5,Vorgabe_2016!$A$24:$B$28,2)</f>
        <v>1</v>
      </c>
      <c r="T5" s="5"/>
      <c r="U5" s="2" t="s">
        <v>23</v>
      </c>
      <c r="V5" s="3">
        <f>VLOOKUP(U5,Vorgabe_2016!$A$24:$B$28,2)</f>
        <v>1</v>
      </c>
      <c r="W5" s="5"/>
      <c r="X5" s="2" t="s">
        <v>22</v>
      </c>
      <c r="Y5" s="3">
        <f>VLOOKUP(X5,Vorgabe_2016!$A$24:$B$28,2)</f>
        <v>2</v>
      </c>
      <c r="Z5" s="5"/>
      <c r="AA5" s="2" t="s">
        <v>22</v>
      </c>
      <c r="AB5" s="3">
        <f>VLOOKUP(AA5,Vorgabe_2016!$A$24:$B$28,2)</f>
        <v>2</v>
      </c>
      <c r="AC5" s="5"/>
      <c r="AD5" s="2" t="s">
        <v>21</v>
      </c>
      <c r="AE5" s="3">
        <f>VLOOKUP(AD5,Vorgabe_2016!$A$24:$B$28,2)</f>
        <v>2.5</v>
      </c>
      <c r="AF5" s="5"/>
      <c r="AG5" s="2" t="s">
        <v>22</v>
      </c>
      <c r="AH5" s="3">
        <f>VLOOKUP(AG5,Vorgabe_2016!$A$24:$B$28,2)</f>
        <v>2</v>
      </c>
      <c r="AI5" s="5"/>
      <c r="AJ5" s="2" t="s">
        <v>23</v>
      </c>
      <c r="AK5" s="3">
        <f>VLOOKUP(AJ5,Vorgabe_2016!$A$24:$B$28,2)</f>
        <v>1</v>
      </c>
      <c r="AL5" s="5"/>
      <c r="AM5" s="2" t="s">
        <v>23</v>
      </c>
      <c r="AN5" s="3">
        <f>VLOOKUP(AM5,Vorgabe_2016!$A$24:$B$28,2)</f>
        <v>1</v>
      </c>
      <c r="AO5" s="5"/>
      <c r="AP5" s="2" t="s">
        <v>93</v>
      </c>
      <c r="AQ5" s="3">
        <f>VLOOKUP(AP5,Vorgabe_2016!$A$24:$B$28,2)</f>
        <v>1.5</v>
      </c>
      <c r="AR5" s="5"/>
      <c r="AS5" s="2" t="s">
        <v>23</v>
      </c>
      <c r="AT5" s="3">
        <f>VLOOKUP(AS5,Vorgabe_2016!$A$24:$B$28,2)</f>
        <v>1</v>
      </c>
      <c r="AU5" s="5"/>
    </row>
    <row r="6" spans="1:47" x14ac:dyDescent="0.25">
      <c r="B6" s="1" t="str">
        <f>+Vorgabe_2016!A31</f>
        <v>5. Wettkampfbeteiligung</v>
      </c>
      <c r="C6" s="2" t="s">
        <v>95</v>
      </c>
      <c r="D6" s="3">
        <f>VLOOKUP(C6,Vorgabe_2016!$A$32:$B$33,2)</f>
        <v>1</v>
      </c>
      <c r="E6" s="5"/>
      <c r="F6" s="2" t="s">
        <v>15</v>
      </c>
      <c r="G6" s="3">
        <f>VLOOKUP(F6,Vorgabe_2016!$A$32:$B$33,2)</f>
        <v>0</v>
      </c>
      <c r="H6" s="5"/>
      <c r="I6" s="2" t="s">
        <v>15</v>
      </c>
      <c r="J6" s="3">
        <f>VLOOKUP(I6,Vorgabe_2016!$A$32:$B$33,2)</f>
        <v>0</v>
      </c>
      <c r="K6" s="5"/>
      <c r="L6" s="2" t="s">
        <v>15</v>
      </c>
      <c r="M6" s="3">
        <f>VLOOKUP(L6,Vorgabe_2016!$A$32:$B$33,2)</f>
        <v>0</v>
      </c>
      <c r="N6" s="5"/>
      <c r="O6" s="2" t="s">
        <v>15</v>
      </c>
      <c r="P6" s="3">
        <f>VLOOKUP(O6,Vorgabe_2016!$A$32:$B$33,2)</f>
        <v>0</v>
      </c>
      <c r="Q6" s="5"/>
      <c r="R6" s="2" t="s">
        <v>15</v>
      </c>
      <c r="S6" s="3">
        <f>VLOOKUP(R6,Vorgabe_2016!$A$32:$B$33,2)</f>
        <v>0</v>
      </c>
      <c r="T6" s="5"/>
      <c r="U6" s="2" t="s">
        <v>15</v>
      </c>
      <c r="V6" s="3">
        <f>VLOOKUP(U6,Vorgabe_2016!$A$32:$B$33,2)</f>
        <v>0</v>
      </c>
      <c r="W6" s="5"/>
      <c r="X6" s="2" t="s">
        <v>15</v>
      </c>
      <c r="Y6" s="3">
        <f>VLOOKUP(X6,Vorgabe_2016!$A$32:$B$33,2)</f>
        <v>0</v>
      </c>
      <c r="Z6" s="5"/>
      <c r="AA6" s="2" t="s">
        <v>15</v>
      </c>
      <c r="AB6" s="3">
        <f>VLOOKUP(AA6,Vorgabe_2016!$A$32:$B$33,2)</f>
        <v>0</v>
      </c>
      <c r="AC6" s="5"/>
      <c r="AD6" s="2" t="s">
        <v>15</v>
      </c>
      <c r="AE6" s="3">
        <f>VLOOKUP(AD6,Vorgabe_2016!$A$32:$B$33,2)</f>
        <v>0</v>
      </c>
      <c r="AF6" s="5"/>
      <c r="AG6" s="2" t="s">
        <v>15</v>
      </c>
      <c r="AH6" s="3">
        <f>VLOOKUP(AG6,Vorgabe_2016!$A$32:$B$33,2)</f>
        <v>0</v>
      </c>
      <c r="AI6" s="5"/>
      <c r="AJ6" s="2" t="s">
        <v>15</v>
      </c>
      <c r="AK6" s="3">
        <f>VLOOKUP(AJ6,Vorgabe_2016!$A$32:$B$33,2)</f>
        <v>0</v>
      </c>
      <c r="AL6" s="5"/>
      <c r="AM6" s="2" t="s">
        <v>15</v>
      </c>
      <c r="AN6" s="3">
        <f>VLOOKUP(AM6,Vorgabe_2016!$A$32:$B$33,2)</f>
        <v>0</v>
      </c>
      <c r="AO6" s="5"/>
      <c r="AP6" s="2" t="s">
        <v>15</v>
      </c>
      <c r="AQ6" s="3">
        <f>VLOOKUP(AP6,Vorgabe_2016!$A$32:$B$33,2)</f>
        <v>0</v>
      </c>
      <c r="AR6" s="5"/>
      <c r="AS6" s="2" t="s">
        <v>15</v>
      </c>
      <c r="AT6" s="3">
        <f>VLOOKUP(AS6,Vorgabe_2016!$A$32:$B$33,2)</f>
        <v>0</v>
      </c>
      <c r="AU6" s="5"/>
    </row>
    <row r="7" spans="1:47" x14ac:dyDescent="0.25">
      <c r="E7" s="5"/>
      <c r="H7" s="5"/>
      <c r="K7" s="5"/>
      <c r="N7" s="5"/>
      <c r="Q7" s="5"/>
      <c r="T7" s="5"/>
      <c r="W7" s="5"/>
      <c r="Z7" s="5"/>
      <c r="AC7" s="5"/>
      <c r="AF7" s="5"/>
      <c r="AI7" s="5"/>
      <c r="AL7" s="5"/>
      <c r="AO7" s="5"/>
      <c r="AR7" s="5"/>
      <c r="AU7" s="5"/>
    </row>
    <row r="8" spans="1:47" ht="15.75" thickBot="1" x14ac:dyDescent="0.3">
      <c r="B8" s="1" t="s">
        <v>24</v>
      </c>
      <c r="D8" s="4"/>
      <c r="E8" s="5"/>
      <c r="G8" s="4">
        <f>SUM(G2:G7)</f>
        <v>9</v>
      </c>
      <c r="H8" s="5"/>
      <c r="J8" s="4"/>
      <c r="K8" s="5"/>
      <c r="M8" s="4">
        <f>SUM(M2:M7)</f>
        <v>8.5</v>
      </c>
      <c r="N8" s="5"/>
      <c r="P8" s="4">
        <f>SUM(P2:P7)</f>
        <v>10</v>
      </c>
      <c r="Q8" s="5"/>
      <c r="S8" s="4">
        <f>SUM(S2:S7)</f>
        <v>9</v>
      </c>
      <c r="T8" s="5"/>
      <c r="V8" s="4">
        <f>SUM(V2:V7)</f>
        <v>8.5</v>
      </c>
      <c r="W8" s="5"/>
      <c r="Y8" s="4">
        <f>SUM(Y2:Y7)</f>
        <v>10</v>
      </c>
      <c r="Z8" s="5"/>
      <c r="AB8" s="4">
        <f>SUM(AB2:AB7)</f>
        <v>10</v>
      </c>
      <c r="AC8" s="5"/>
      <c r="AE8" s="4">
        <f>SUM(AE2:AE7)</f>
        <v>9.5</v>
      </c>
      <c r="AF8" s="5"/>
      <c r="AH8" s="4">
        <f>SUM(AH2:AH7)</f>
        <v>9</v>
      </c>
      <c r="AI8" s="5"/>
      <c r="AK8" s="4">
        <f>SUM(AK2:AK7)</f>
        <v>8</v>
      </c>
      <c r="AL8" s="5"/>
      <c r="AN8" s="4">
        <f>SUM(AN2:AN7)</f>
        <v>6.5</v>
      </c>
      <c r="AO8" s="5"/>
      <c r="AQ8" s="4">
        <f>SUM(AQ2:AQ7)</f>
        <v>5.5</v>
      </c>
      <c r="AR8" s="5"/>
      <c r="AT8" s="4">
        <f>SUM(AT2:AT7)</f>
        <v>5</v>
      </c>
      <c r="AU8" s="5"/>
    </row>
    <row r="9" spans="1:47" ht="15.75" thickTop="1" x14ac:dyDescent="0.25">
      <c r="D9" s="11"/>
      <c r="E9" s="5"/>
      <c r="G9" s="11"/>
      <c r="H9" s="5"/>
      <c r="J9" s="11"/>
      <c r="K9" s="5"/>
      <c r="M9" s="11"/>
      <c r="N9" s="5"/>
      <c r="P9" s="11"/>
      <c r="Q9" s="5"/>
      <c r="S9" s="11"/>
      <c r="T9" s="5"/>
      <c r="V9" s="11"/>
      <c r="W9" s="5"/>
      <c r="Y9" s="11"/>
      <c r="Z9" s="5"/>
      <c r="AB9" s="11"/>
      <c r="AC9" s="5"/>
      <c r="AD9" s="1" t="s">
        <v>25</v>
      </c>
      <c r="AE9" s="11">
        <v>3</v>
      </c>
      <c r="AF9" s="5"/>
      <c r="AG9" s="1" t="s">
        <v>25</v>
      </c>
      <c r="AH9" s="11">
        <v>3</v>
      </c>
      <c r="AI9" s="54"/>
      <c r="AK9" s="11"/>
      <c r="AL9" s="5"/>
      <c r="AN9" s="11"/>
      <c r="AO9" s="5"/>
      <c r="AQ9" s="11"/>
      <c r="AR9" s="5"/>
      <c r="AT9" s="11"/>
      <c r="AU9" s="5"/>
    </row>
    <row r="10" spans="1:47" x14ac:dyDescent="0.25">
      <c r="B10" s="3" t="s">
        <v>26</v>
      </c>
      <c r="D10" s="12"/>
      <c r="E10" s="5"/>
      <c r="G10" s="12">
        <f>G8*G16*G17</f>
        <v>1080</v>
      </c>
      <c r="H10" s="5"/>
      <c r="J10" s="12"/>
      <c r="K10" s="5"/>
      <c r="M10" s="12">
        <f>M8*M16*M17</f>
        <v>510</v>
      </c>
      <c r="N10" s="5"/>
      <c r="P10" s="12">
        <f>P8*P16*P17</f>
        <v>800</v>
      </c>
      <c r="Q10" s="5"/>
      <c r="S10" s="12">
        <f>S8*S16*S17</f>
        <v>720</v>
      </c>
      <c r="T10" s="5"/>
      <c r="V10" s="12">
        <f>V8*V16*V17</f>
        <v>340</v>
      </c>
      <c r="W10" s="5"/>
      <c r="Y10" s="12">
        <f>Y8*Y16*Y17</f>
        <v>1000</v>
      </c>
      <c r="Z10" s="5"/>
      <c r="AB10" s="12">
        <f>AB8*AB16*AB17</f>
        <v>800</v>
      </c>
      <c r="AC10" s="5"/>
      <c r="AE10" s="12">
        <f>AE8*AE16*AE17</f>
        <v>760</v>
      </c>
      <c r="AF10" s="5"/>
      <c r="AH10" s="12">
        <f>AH8*AH16*AH17</f>
        <v>360</v>
      </c>
      <c r="AI10" s="5"/>
      <c r="AK10" s="12"/>
      <c r="AL10" s="5"/>
      <c r="AN10" s="12"/>
      <c r="AO10" s="5"/>
      <c r="AQ10" s="12"/>
      <c r="AR10" s="5"/>
      <c r="AT10" s="12"/>
      <c r="AU10" s="5"/>
    </row>
    <row r="13" spans="1:47" s="6" customFormat="1" x14ac:dyDescent="0.25">
      <c r="A13" s="168" t="s">
        <v>28</v>
      </c>
      <c r="B13" s="6" t="s">
        <v>29</v>
      </c>
      <c r="D13" s="7">
        <v>7.5</v>
      </c>
      <c r="G13" s="8">
        <f>+G8</f>
        <v>9</v>
      </c>
      <c r="J13" s="7">
        <v>7.5</v>
      </c>
      <c r="M13" s="8">
        <f>+M8</f>
        <v>8.5</v>
      </c>
      <c r="P13" s="8">
        <f>+P8</f>
        <v>10</v>
      </c>
      <c r="S13" s="8">
        <f>+S8</f>
        <v>9</v>
      </c>
      <c r="V13" s="8">
        <f>+V8</f>
        <v>8.5</v>
      </c>
      <c r="Y13" s="8">
        <f>+Y8</f>
        <v>10</v>
      </c>
      <c r="AB13" s="8">
        <f>+AB8</f>
        <v>10</v>
      </c>
      <c r="AE13" s="8">
        <f>+AE8</f>
        <v>9.5</v>
      </c>
      <c r="AH13" s="8">
        <f>+AH8</f>
        <v>9</v>
      </c>
      <c r="AK13" s="7">
        <v>7.5</v>
      </c>
      <c r="AN13" s="7">
        <v>7.5</v>
      </c>
      <c r="AQ13" s="7">
        <v>2.5</v>
      </c>
      <c r="AT13" s="7">
        <v>2.5</v>
      </c>
    </row>
    <row r="14" spans="1:47" s="6" customFormat="1" x14ac:dyDescent="0.25">
      <c r="A14" s="168"/>
      <c r="B14" s="6" t="s">
        <v>30</v>
      </c>
      <c r="D14" s="8">
        <f>D13*4</f>
        <v>30</v>
      </c>
      <c r="G14" s="8"/>
      <c r="J14" s="8">
        <f>J13*4</f>
        <v>30</v>
      </c>
      <c r="M14" s="8"/>
      <c r="P14" s="8"/>
      <c r="S14" s="8"/>
      <c r="V14" s="8"/>
      <c r="Y14" s="8"/>
      <c r="AB14" s="8"/>
      <c r="AE14" s="8"/>
      <c r="AH14" s="8"/>
      <c r="AK14" s="8">
        <f t="shared" ref="AK14" si="0">AK13*4</f>
        <v>30</v>
      </c>
      <c r="AN14" s="8">
        <f t="shared" ref="AN14" si="1">AN13*4</f>
        <v>30</v>
      </c>
      <c r="AQ14" s="8">
        <f>AQ13*4</f>
        <v>10</v>
      </c>
      <c r="AT14" s="8">
        <f>AT13*4</f>
        <v>10</v>
      </c>
    </row>
    <row r="15" spans="1:47" s="6" customFormat="1" x14ac:dyDescent="0.25">
      <c r="A15" s="168"/>
    </row>
    <row r="16" spans="1:47" s="6" customFormat="1" x14ac:dyDescent="0.25">
      <c r="A16" s="168"/>
      <c r="B16" s="6" t="s">
        <v>31</v>
      </c>
      <c r="D16" s="9">
        <v>2</v>
      </c>
      <c r="G16" s="9">
        <v>3</v>
      </c>
      <c r="J16" s="9">
        <v>2</v>
      </c>
      <c r="M16" s="9">
        <v>1.5</v>
      </c>
      <c r="P16" s="9">
        <v>2</v>
      </c>
      <c r="S16" s="9">
        <v>2</v>
      </c>
      <c r="V16" s="9">
        <v>1</v>
      </c>
      <c r="Y16" s="9">
        <v>2.5</v>
      </c>
      <c r="AB16" s="9">
        <v>2</v>
      </c>
      <c r="AE16" s="9">
        <v>2</v>
      </c>
      <c r="AH16" s="9">
        <v>1</v>
      </c>
      <c r="AK16" s="9">
        <v>2</v>
      </c>
      <c r="AN16" s="9">
        <v>2</v>
      </c>
      <c r="AQ16" s="9">
        <v>2</v>
      </c>
      <c r="AT16" s="9">
        <v>2</v>
      </c>
    </row>
    <row r="17" spans="1:47" s="6" customFormat="1" x14ac:dyDescent="0.25">
      <c r="A17" s="168"/>
      <c r="B17" s="6" t="s">
        <v>119</v>
      </c>
      <c r="D17" s="9">
        <v>40</v>
      </c>
      <c r="G17" s="9">
        <f>+$D$17</f>
        <v>40</v>
      </c>
      <c r="J17" s="9">
        <v>40</v>
      </c>
      <c r="M17" s="9">
        <f>+$D$17</f>
        <v>40</v>
      </c>
      <c r="P17" s="9">
        <f>+$D$17</f>
        <v>40</v>
      </c>
      <c r="S17" s="9">
        <f>+$D$17</f>
        <v>40</v>
      </c>
      <c r="V17" s="9">
        <f>+$D$17</f>
        <v>40</v>
      </c>
      <c r="Y17" s="9">
        <f>+$D$17</f>
        <v>40</v>
      </c>
      <c r="AB17" s="9">
        <f>+$D$17</f>
        <v>40</v>
      </c>
      <c r="AE17" s="9">
        <f>+$D$17</f>
        <v>40</v>
      </c>
      <c r="AH17" s="9">
        <f>+$D$17</f>
        <v>40</v>
      </c>
      <c r="AK17" s="9">
        <v>40</v>
      </c>
      <c r="AN17" s="9">
        <v>40</v>
      </c>
      <c r="AQ17" s="9">
        <v>40</v>
      </c>
      <c r="AT17" s="9">
        <v>40</v>
      </c>
    </row>
    <row r="18" spans="1:47" s="10" customFormat="1" x14ac:dyDescent="0.25">
      <c r="A18" s="169"/>
      <c r="B18" s="10" t="s">
        <v>33</v>
      </c>
      <c r="D18" s="10">
        <f>D14*11</f>
        <v>330</v>
      </c>
      <c r="G18" s="10">
        <f>G17*G16*G13</f>
        <v>1080</v>
      </c>
      <c r="J18" s="10">
        <f>J14*11</f>
        <v>330</v>
      </c>
      <c r="M18" s="10">
        <f>M17*M16*M13</f>
        <v>510</v>
      </c>
      <c r="P18" s="10">
        <f>P17*P16*P13</f>
        <v>800</v>
      </c>
      <c r="S18" s="10">
        <f>S17*S16*S13</f>
        <v>720</v>
      </c>
      <c r="V18" s="10">
        <f>V17*V16*V13</f>
        <v>340</v>
      </c>
      <c r="Y18" s="10">
        <f>Y17*Y16*Y13</f>
        <v>1000</v>
      </c>
      <c r="AB18" s="10">
        <f>AB17*AB16*AB13</f>
        <v>800</v>
      </c>
      <c r="AE18" s="10">
        <f>AE17*AE16*AE13</f>
        <v>760</v>
      </c>
      <c r="AH18" s="10">
        <f>AH17*AH16*AH13</f>
        <v>360</v>
      </c>
      <c r="AK18" s="10">
        <f t="shared" ref="AK18" si="2">AK14*11</f>
        <v>330</v>
      </c>
      <c r="AN18" s="10">
        <f t="shared" ref="AN18" si="3">AN14*11</f>
        <v>330</v>
      </c>
      <c r="AQ18" s="10">
        <f t="shared" ref="AQ18" si="4">AQ14*11</f>
        <v>110</v>
      </c>
      <c r="AT18" s="10">
        <f t="shared" ref="AT18" si="5">AT14*11</f>
        <v>110</v>
      </c>
    </row>
    <row r="19" spans="1:47" s="3" customFormat="1" x14ac:dyDescent="0.25">
      <c r="A19" s="35"/>
    </row>
    <row r="20" spans="1:47" ht="8.4499999999999993" customHeight="1" x14ac:dyDescent="0.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2" spans="1:47" ht="15.75" thickBot="1" x14ac:dyDescent="0.3">
      <c r="B22" s="6"/>
      <c r="C22" s="51" t="s">
        <v>34</v>
      </c>
      <c r="D22" s="13">
        <f>SUM(D18:AAC18)</f>
        <v>7910</v>
      </c>
    </row>
    <row r="23" spans="1:47" ht="15.75" thickTop="1" x14ac:dyDescent="0.25"/>
    <row r="24" spans="1:47" x14ac:dyDescent="0.25">
      <c r="B24" s="1" t="s">
        <v>35</v>
      </c>
      <c r="G24" s="12"/>
    </row>
    <row r="25" spans="1:47" x14ac:dyDescent="0.25">
      <c r="B25" s="32" t="s">
        <v>118</v>
      </c>
    </row>
    <row r="26" spans="1:47" x14ac:dyDescent="0.25">
      <c r="B26" s="33" t="s">
        <v>47</v>
      </c>
    </row>
    <row r="27" spans="1:47" x14ac:dyDescent="0.25">
      <c r="B27" s="33" t="s">
        <v>9</v>
      </c>
    </row>
    <row r="28" spans="1:47" x14ac:dyDescent="0.25">
      <c r="B28" s="33" t="s">
        <v>53</v>
      </c>
    </row>
    <row r="29" spans="1:47" x14ac:dyDescent="0.25">
      <c r="B29" s="33" t="s">
        <v>120</v>
      </c>
    </row>
  </sheetData>
  <sheetProtection selectLockedCells="1"/>
  <mergeCells count="16">
    <mergeCell ref="AS1:AT1"/>
    <mergeCell ref="AM1:AN1"/>
    <mergeCell ref="AP1:AQ1"/>
    <mergeCell ref="A13:A18"/>
    <mergeCell ref="U1:V1"/>
    <mergeCell ref="X1:Y1"/>
    <mergeCell ref="AA1:AB1"/>
    <mergeCell ref="AD1:AE1"/>
    <mergeCell ref="AG1:AH1"/>
    <mergeCell ref="AJ1:AK1"/>
    <mergeCell ref="C1:D1"/>
    <mergeCell ref="F1:G1"/>
    <mergeCell ref="I1:J1"/>
    <mergeCell ref="L1:M1"/>
    <mergeCell ref="O1:P1"/>
    <mergeCell ref="R1:S1"/>
  </mergeCells>
  <dataValidations count="5">
    <dataValidation type="list" allowBlank="1" showInputMessage="1" showErrorMessage="1" sqref="X2 AA2 AD2 O2 L2 I2 F2 C2 U2 R2 AG2 AJ2 AM2 AP2 AS2" xr:uid="{00000000-0002-0000-0500-000000000000}">
      <formula1>AusbildungSTV</formula1>
    </dataValidation>
    <dataValidation type="list" allowBlank="1" showInputMessage="1" showErrorMessage="1" sqref="X4 AA4 AD4 O4 L4 I4 F4 C4 U4 R4 AG4 AJ4 AM4 AP4 AS4" xr:uid="{00000000-0002-0000-0500-000001000000}">
      <formula1>Erfahrung</formula1>
    </dataValidation>
    <dataValidation type="list" allowBlank="1" showInputMessage="1" showErrorMessage="1" sqref="X5 AA5 AD5 O5 L5 I5 F5 C5 U5 R5 AG5 AJ5 AM5 AP5 AS5" xr:uid="{00000000-0002-0000-0500-000002000000}">
      <formula1>Gruppengröße</formula1>
    </dataValidation>
    <dataValidation type="list" allowBlank="1" showInputMessage="1" showErrorMessage="1" sqref="X6 AA6 AD6 O6 L6 I6 F6 C6 U6 R6 AG6 AJ6 AM6 AP6 AS6" xr:uid="{00000000-0002-0000-0500-000003000000}">
      <formula1>Wettkampfbeteiligung</formula1>
    </dataValidation>
    <dataValidation type="list" allowBlank="1" showInputMessage="1" showErrorMessage="1" sqref="X3 AA3 AD3 O3 L3 I3 F3 C3 U3 R3 AG3 AJ3 AM3 AP3 AS3" xr:uid="{00000000-0002-0000-0500-000004000000}">
      <formula1>Lizenz</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14" max="37" man="1"/>
    <brk id="26" max="37" man="1"/>
    <brk id="38" max="37"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zoomScaleNormal="100" workbookViewId="0">
      <selection activeCell="AD5" sqref="AD5"/>
    </sheetView>
  </sheetViews>
  <sheetFormatPr baseColWidth="10" defaultColWidth="11.42578125" defaultRowHeight="15" x14ac:dyDescent="0.25"/>
  <cols>
    <col min="1" max="1" width="29.42578125" customWidth="1"/>
  </cols>
  <sheetData>
    <row r="1" spans="1:6" x14ac:dyDescent="0.25">
      <c r="A1" s="56" t="s">
        <v>35</v>
      </c>
      <c r="B1" s="57" t="s">
        <v>173</v>
      </c>
      <c r="C1" s="57" t="s">
        <v>174</v>
      </c>
      <c r="D1" s="57" t="s">
        <v>175</v>
      </c>
      <c r="E1" s="58" t="s">
        <v>132</v>
      </c>
    </row>
    <row r="2" spans="1:6" x14ac:dyDescent="0.25">
      <c r="A2" s="59" t="s">
        <v>118</v>
      </c>
      <c r="B2" s="55">
        <v>90</v>
      </c>
      <c r="C2" s="55">
        <v>90</v>
      </c>
      <c r="D2" s="55">
        <v>60</v>
      </c>
      <c r="E2" s="60">
        <v>90</v>
      </c>
      <c r="F2" s="65">
        <f>SUM(B2:E2)</f>
        <v>330</v>
      </c>
    </row>
    <row r="3" spans="1:6" x14ac:dyDescent="0.25">
      <c r="A3" s="59" t="s">
        <v>9</v>
      </c>
      <c r="B3" s="55">
        <v>90</v>
      </c>
      <c r="C3" s="55"/>
      <c r="D3" s="55"/>
      <c r="E3" s="60"/>
    </row>
    <row r="4" spans="1:6" x14ac:dyDescent="0.25">
      <c r="A4" s="61" t="s">
        <v>47</v>
      </c>
      <c r="B4" s="55">
        <v>90</v>
      </c>
      <c r="C4" s="55">
        <v>90</v>
      </c>
      <c r="D4" s="55">
        <v>60</v>
      </c>
      <c r="E4" s="60">
        <v>90</v>
      </c>
      <c r="F4" s="65">
        <f t="shared" ref="F4:F6" si="0">SUM(B4:E4)</f>
        <v>330</v>
      </c>
    </row>
    <row r="5" spans="1:6" x14ac:dyDescent="0.25">
      <c r="A5" s="61" t="s">
        <v>53</v>
      </c>
      <c r="B5" s="55">
        <v>90</v>
      </c>
      <c r="C5" s="55">
        <v>90</v>
      </c>
      <c r="D5" s="55">
        <v>20</v>
      </c>
      <c r="E5" s="60">
        <v>30</v>
      </c>
      <c r="F5" s="65">
        <f t="shared" ref="F5" si="1">SUM(B5:E5)</f>
        <v>230</v>
      </c>
    </row>
    <row r="6" spans="1:6" x14ac:dyDescent="0.25">
      <c r="A6" s="61" t="s">
        <v>50</v>
      </c>
      <c r="B6" s="55"/>
      <c r="C6" s="55"/>
      <c r="D6" s="55">
        <v>20</v>
      </c>
      <c r="E6" s="60">
        <v>30</v>
      </c>
      <c r="F6" s="65">
        <f t="shared" si="0"/>
        <v>50</v>
      </c>
    </row>
    <row r="7" spans="1:6" x14ac:dyDescent="0.25">
      <c r="A7" s="1"/>
      <c r="B7" s="1"/>
      <c r="C7" s="1"/>
      <c r="D7" s="1"/>
      <c r="E7" s="1"/>
    </row>
    <row r="8" spans="1:6" x14ac:dyDescent="0.25">
      <c r="E8" s="65">
        <f>SUM(B2:E6)</f>
        <v>1030</v>
      </c>
    </row>
  </sheetData>
  <pageMargins left="0.70866141732283472" right="0.70866141732283472" top="0.78740157480314965" bottom="0.78740157480314965" header="0.31496062992125984" footer="0.31496062992125984"/>
  <pageSetup paperSize="9" orientation="landscape" r:id="rId1"/>
  <headerFooter>
    <oddFooter>&amp;R&amp;G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4"/>
  <sheetViews>
    <sheetView zoomScaleNormal="100" workbookViewId="0">
      <selection activeCell="AD5" sqref="AD5"/>
    </sheetView>
  </sheetViews>
  <sheetFormatPr baseColWidth="10" defaultColWidth="11.42578125" defaultRowHeight="15" x14ac:dyDescent="0.25"/>
  <cols>
    <col min="1" max="1" width="24.140625" bestFit="1" customWidth="1"/>
    <col min="2" max="2" width="11.42578125" style="25"/>
    <col min="3" max="3" width="3.85546875" customWidth="1"/>
    <col min="4" max="4" width="26.7109375" customWidth="1"/>
    <col min="5" max="5" width="11.42578125" style="25"/>
  </cols>
  <sheetData>
    <row r="1" spans="1:5" ht="40.15" customHeight="1" x14ac:dyDescent="0.25">
      <c r="A1" s="200" t="s">
        <v>75</v>
      </c>
      <c r="B1" s="201"/>
      <c r="D1" s="200" t="s">
        <v>76</v>
      </c>
      <c r="E1" s="201"/>
    </row>
    <row r="3" spans="1:5" s="1" customFormat="1" ht="36" x14ac:dyDescent="0.25">
      <c r="A3" s="28" t="s">
        <v>78</v>
      </c>
      <c r="B3" s="29" t="s">
        <v>176</v>
      </c>
      <c r="D3" s="28" t="s">
        <v>81</v>
      </c>
      <c r="E3" s="30" t="s">
        <v>82</v>
      </c>
    </row>
    <row r="4" spans="1:5" x14ac:dyDescent="0.25">
      <c r="A4" t="s">
        <v>14</v>
      </c>
      <c r="B4" s="26">
        <v>3.5</v>
      </c>
      <c r="D4" s="1" t="s">
        <v>83</v>
      </c>
      <c r="E4" s="31">
        <v>10</v>
      </c>
    </row>
    <row r="5" spans="1:5" x14ac:dyDescent="0.25">
      <c r="A5" t="s">
        <v>177</v>
      </c>
      <c r="B5" s="26">
        <v>3</v>
      </c>
      <c r="D5" s="1" t="s">
        <v>84</v>
      </c>
      <c r="E5" s="31">
        <v>30</v>
      </c>
    </row>
    <row r="6" spans="1:5" x14ac:dyDescent="0.25">
      <c r="A6" t="s">
        <v>13</v>
      </c>
      <c r="B6" s="26">
        <f>B4+1</f>
        <v>4.5</v>
      </c>
      <c r="D6" s="1"/>
      <c r="E6" s="1"/>
    </row>
    <row r="7" spans="1:5" x14ac:dyDescent="0.25">
      <c r="A7" t="s">
        <v>85</v>
      </c>
      <c r="B7" s="26">
        <f>B6+0.5</f>
        <v>5</v>
      </c>
      <c r="D7" s="28" t="s">
        <v>178</v>
      </c>
      <c r="E7" s="30" t="s">
        <v>179</v>
      </c>
    </row>
    <row r="8" spans="1:5" x14ac:dyDescent="0.25">
      <c r="A8" t="s">
        <v>87</v>
      </c>
      <c r="B8" s="26">
        <f>B7+0.5</f>
        <v>5.5</v>
      </c>
      <c r="D8" s="1" t="s">
        <v>180</v>
      </c>
      <c r="E8" s="31">
        <v>30</v>
      </c>
    </row>
    <row r="9" spans="1:5" x14ac:dyDescent="0.25">
      <c r="B9" s="26"/>
      <c r="D9" s="1" t="s">
        <v>181</v>
      </c>
      <c r="E9" s="31">
        <v>10</v>
      </c>
    </row>
    <row r="10" spans="1:5" x14ac:dyDescent="0.25">
      <c r="B10" s="26"/>
      <c r="D10" s="1"/>
      <c r="E10" s="1"/>
    </row>
    <row r="11" spans="1:5" x14ac:dyDescent="0.25">
      <c r="A11" s="28" t="s">
        <v>88</v>
      </c>
      <c r="B11" s="29"/>
      <c r="D11" s="1"/>
      <c r="E11" s="1"/>
    </row>
    <row r="12" spans="1:5" x14ac:dyDescent="0.25">
      <c r="A12" t="s">
        <v>15</v>
      </c>
      <c r="B12" s="26">
        <v>0</v>
      </c>
      <c r="D12" s="1"/>
      <c r="E12" s="1"/>
    </row>
    <row r="13" spans="1:5" x14ac:dyDescent="0.25">
      <c r="A13" t="s">
        <v>16</v>
      </c>
      <c r="B13" s="26">
        <v>1.5</v>
      </c>
      <c r="D13" s="1"/>
      <c r="E13" s="1"/>
    </row>
    <row r="14" spans="1:5" x14ac:dyDescent="0.25">
      <c r="B14" s="26"/>
      <c r="D14" s="1"/>
      <c r="E14" s="1"/>
    </row>
    <row r="15" spans="1:5" x14ac:dyDescent="0.25">
      <c r="D15" s="1"/>
      <c r="E15" s="1"/>
    </row>
    <row r="16" spans="1:5" x14ac:dyDescent="0.25">
      <c r="A16" s="28" t="s">
        <v>90</v>
      </c>
      <c r="B16" s="29"/>
      <c r="D16" s="1"/>
      <c r="E16" s="1"/>
    </row>
    <row r="17" spans="1:5" x14ac:dyDescent="0.25">
      <c r="A17" t="s">
        <v>20</v>
      </c>
      <c r="B17" s="27">
        <v>0.5</v>
      </c>
      <c r="D17" s="1"/>
      <c r="E17" s="1"/>
    </row>
    <row r="18" spans="1:5" x14ac:dyDescent="0.25">
      <c r="A18" t="s">
        <v>19</v>
      </c>
      <c r="B18" s="26">
        <f>B17+0.5</f>
        <v>1</v>
      </c>
      <c r="D18" s="1"/>
      <c r="E18" s="1"/>
    </row>
    <row r="19" spans="1:5" x14ac:dyDescent="0.25">
      <c r="A19" t="s">
        <v>18</v>
      </c>
      <c r="B19" s="26">
        <f>B18+0.5</f>
        <v>1.5</v>
      </c>
      <c r="D19" s="1"/>
      <c r="E19" s="1"/>
    </row>
    <row r="20" spans="1:5" x14ac:dyDescent="0.25">
      <c r="A20" t="s">
        <v>17</v>
      </c>
      <c r="B20" s="26">
        <f>B19+0.5</f>
        <v>2</v>
      </c>
      <c r="D20" s="1"/>
      <c r="E20" s="1"/>
    </row>
    <row r="21" spans="1:5" x14ac:dyDescent="0.25">
      <c r="D21" s="1"/>
      <c r="E21" s="1"/>
    </row>
    <row r="22" spans="1:5" x14ac:dyDescent="0.25">
      <c r="D22" s="1"/>
      <c r="E22" s="1"/>
    </row>
    <row r="23" spans="1:5" x14ac:dyDescent="0.25">
      <c r="A23" s="28" t="s">
        <v>92</v>
      </c>
      <c r="B23" s="29"/>
      <c r="D23" s="1"/>
      <c r="E23" s="1"/>
    </row>
    <row r="24" spans="1:5" x14ac:dyDescent="0.25">
      <c r="A24" t="s">
        <v>71</v>
      </c>
      <c r="B24" s="26">
        <v>0.5</v>
      </c>
      <c r="D24" s="1"/>
      <c r="E24" s="1"/>
    </row>
    <row r="25" spans="1:5" x14ac:dyDescent="0.25">
      <c r="A25" t="s">
        <v>23</v>
      </c>
      <c r="B25" s="26">
        <f>B24+0.5</f>
        <v>1</v>
      </c>
      <c r="D25" s="1"/>
      <c r="E25" s="1"/>
    </row>
    <row r="26" spans="1:5" x14ac:dyDescent="0.25">
      <c r="A26" t="s">
        <v>93</v>
      </c>
      <c r="B26" s="26">
        <f>B25+0.5</f>
        <v>1.5</v>
      </c>
      <c r="D26" s="1"/>
      <c r="E26" s="1"/>
    </row>
    <row r="27" spans="1:5" x14ac:dyDescent="0.25">
      <c r="A27" t="s">
        <v>22</v>
      </c>
      <c r="B27" s="26">
        <f>B26+0.5</f>
        <v>2</v>
      </c>
      <c r="D27" s="1"/>
      <c r="E27" s="1"/>
    </row>
    <row r="28" spans="1:5" x14ac:dyDescent="0.25">
      <c r="A28" t="s">
        <v>21</v>
      </c>
      <c r="B28" s="26">
        <f>B27+0.5</f>
        <v>2.5</v>
      </c>
      <c r="D28" s="1"/>
      <c r="E28" s="1"/>
    </row>
    <row r="29" spans="1:5" x14ac:dyDescent="0.25">
      <c r="D29" s="1"/>
      <c r="E29" s="1"/>
    </row>
    <row r="30" spans="1:5" x14ac:dyDescent="0.25">
      <c r="D30" s="1"/>
      <c r="E30" s="1"/>
    </row>
    <row r="31" spans="1:5" x14ac:dyDescent="0.25">
      <c r="A31" s="28" t="s">
        <v>94</v>
      </c>
      <c r="B31" s="29"/>
      <c r="D31" s="1"/>
      <c r="E31" s="1"/>
    </row>
    <row r="32" spans="1:5" x14ac:dyDescent="0.25">
      <c r="A32" t="s">
        <v>15</v>
      </c>
      <c r="B32" s="26">
        <v>0</v>
      </c>
      <c r="D32" s="1"/>
      <c r="E32" s="1"/>
    </row>
    <row r="33" spans="1:5" x14ac:dyDescent="0.25">
      <c r="A33" t="s">
        <v>95</v>
      </c>
      <c r="B33" s="26">
        <v>1</v>
      </c>
      <c r="D33" s="1"/>
      <c r="E33" s="1"/>
    </row>
    <row r="34" spans="1:5" x14ac:dyDescent="0.25">
      <c r="D34" s="1"/>
      <c r="E34" s="1"/>
    </row>
  </sheetData>
  <sheetProtection selectLockedCells="1"/>
  <mergeCells count="2">
    <mergeCell ref="A1:B1"/>
    <mergeCell ref="D1:E1"/>
  </mergeCells>
  <conditionalFormatting sqref="A4:B8 A12:B13 A17:B20 A24:B28 A32:B33">
    <cfRule type="expression" dxfId="7" priority="3">
      <formula>MOD(ROW(),2)=0</formula>
    </cfRule>
  </conditionalFormatting>
  <conditionalFormatting sqref="D4:E5">
    <cfRule type="expression" dxfId="6" priority="2">
      <formula>MOD(ROW(),2)=0</formula>
    </cfRule>
  </conditionalFormatting>
  <conditionalFormatting sqref="D8:E9">
    <cfRule type="expression" dxfId="5"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Header>&amp;CHonorarsätze Übungsleiter &amp; Trainer  -  gültig ab 2016&amp;R&amp;G</oddHeader>
    <oddFooter>&amp;L&amp;A
Stand: Dez. 2014&amp;Chttp://www.stv-artlenburg.de/&amp;RAndreas Philipp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zoomScaleNormal="100" workbookViewId="0">
      <selection activeCell="AD5" sqref="AD5"/>
    </sheetView>
  </sheetViews>
  <sheetFormatPr baseColWidth="10" defaultColWidth="11.42578125" defaultRowHeight="15" x14ac:dyDescent="0.25"/>
  <cols>
    <col min="1" max="1" width="29.42578125" bestFit="1" customWidth="1"/>
  </cols>
  <sheetData>
    <row r="1" spans="1:5" x14ac:dyDescent="0.25">
      <c r="A1" s="56" t="s">
        <v>35</v>
      </c>
      <c r="B1" s="57" t="s">
        <v>182</v>
      </c>
      <c r="C1" s="57" t="s">
        <v>183</v>
      </c>
      <c r="D1" s="57" t="s">
        <v>184</v>
      </c>
      <c r="E1" s="58" t="s">
        <v>185</v>
      </c>
    </row>
    <row r="2" spans="1:5" x14ac:dyDescent="0.25">
      <c r="A2" s="59" t="s">
        <v>118</v>
      </c>
      <c r="B2" s="55">
        <v>66</v>
      </c>
      <c r="C2" s="55">
        <v>66</v>
      </c>
      <c r="D2" s="55">
        <v>66</v>
      </c>
      <c r="E2" s="60">
        <v>44</v>
      </c>
    </row>
    <row r="3" spans="1:5" x14ac:dyDescent="0.25">
      <c r="A3" s="61" t="s">
        <v>47</v>
      </c>
      <c r="B3" s="55">
        <v>66</v>
      </c>
      <c r="C3" s="55">
        <v>66</v>
      </c>
      <c r="D3" s="55">
        <v>66</v>
      </c>
      <c r="E3" s="60">
        <v>44</v>
      </c>
    </row>
    <row r="4" spans="1:5" x14ac:dyDescent="0.25">
      <c r="A4" s="61" t="s">
        <v>9</v>
      </c>
      <c r="B4" s="55">
        <v>66</v>
      </c>
      <c r="C4" s="55">
        <v>66</v>
      </c>
      <c r="D4" s="55">
        <v>66</v>
      </c>
      <c r="E4" s="60">
        <v>44</v>
      </c>
    </row>
    <row r="5" spans="1:5" x14ac:dyDescent="0.25">
      <c r="A5" s="61" t="s">
        <v>53</v>
      </c>
      <c r="B5" s="55">
        <v>30</v>
      </c>
      <c r="C5" s="55">
        <v>30</v>
      </c>
      <c r="D5" s="55">
        <v>30</v>
      </c>
      <c r="E5" s="60">
        <v>20</v>
      </c>
    </row>
    <row r="6" spans="1:5" ht="15.75" thickBot="1" x14ac:dyDescent="0.3">
      <c r="A6" s="62" t="s">
        <v>120</v>
      </c>
      <c r="B6" s="63">
        <v>66</v>
      </c>
      <c r="C6" s="63">
        <v>66</v>
      </c>
      <c r="D6" s="63">
        <v>66</v>
      </c>
      <c r="E6" s="64">
        <v>44</v>
      </c>
    </row>
    <row r="7" spans="1:5" x14ac:dyDescent="0.25">
      <c r="A7" s="1"/>
      <c r="B7" s="1"/>
      <c r="C7" s="1"/>
      <c r="D7" s="1"/>
      <c r="E7" s="1"/>
    </row>
    <row r="8" spans="1:5" x14ac:dyDescent="0.25">
      <c r="E8" s="65">
        <f>SUM(B2:E6)</f>
        <v>1078</v>
      </c>
    </row>
  </sheetData>
  <pageMargins left="0.70866141732283472" right="0.70866141732283472" top="0.78740157480314965" bottom="0.78740157480314965" header="0.31496062992125984" footer="0.31496062992125984"/>
  <pageSetup paperSize="9" orientation="portrait" r:id="rId1"/>
  <headerFooter>
    <oddFooter>&amp;R&amp;G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5"/>
  <sheetViews>
    <sheetView zoomScaleNormal="100" workbookViewId="0">
      <pane xSplit="2" ySplit="1" topLeftCell="C18" activePane="bottomRight" state="frozen"/>
      <selection pane="topRight" activeCell="AD5" sqref="AD5"/>
      <selection pane="bottomLeft" activeCell="AD5" sqref="AD5"/>
      <selection pane="bottomRight" activeCell="AD5" sqref="AD5"/>
    </sheetView>
  </sheetViews>
  <sheetFormatPr baseColWidth="10" defaultColWidth="11.5703125" defaultRowHeight="15" x14ac:dyDescent="0.25"/>
  <cols>
    <col min="1" max="1" width="5.28515625" style="1" customWidth="1"/>
    <col min="2" max="2" width="30.42578125" style="1" customWidth="1"/>
    <col min="3" max="3" width="18.140625" style="1" customWidth="1"/>
    <col min="4" max="4" width="11.5703125" style="1"/>
    <col min="5" max="5" width="4" style="1" customWidth="1"/>
    <col min="6" max="6" width="18.140625" style="1" customWidth="1"/>
    <col min="7" max="7" width="11.5703125" style="1"/>
    <col min="8" max="8" width="4" style="1" customWidth="1"/>
    <col min="9" max="9" width="18.140625" style="1" customWidth="1"/>
    <col min="10" max="10" width="11.5703125" style="1"/>
    <col min="11" max="11" width="4" style="1" customWidth="1"/>
    <col min="12" max="12" width="18.140625" style="1" customWidth="1"/>
    <col min="13" max="13" width="11.5703125" style="1"/>
    <col min="14" max="14" width="4" style="1" customWidth="1"/>
    <col min="15" max="15" width="18.140625" style="1" customWidth="1"/>
    <col min="16" max="16" width="11.5703125" style="1"/>
    <col min="17" max="17" width="4" style="1" customWidth="1"/>
    <col min="18" max="18" width="18.140625" style="1" customWidth="1"/>
    <col min="19" max="19" width="11.5703125" style="1"/>
    <col min="20" max="20" width="4" style="1" customWidth="1"/>
    <col min="21" max="21" width="18.140625" style="1" customWidth="1"/>
    <col min="22" max="22" width="11.5703125" style="1"/>
    <col min="23" max="23" width="4" style="1" customWidth="1"/>
    <col min="24" max="24" width="18.140625" style="1" customWidth="1"/>
    <col min="25" max="25" width="11.5703125" style="1"/>
    <col min="26" max="26" width="4" style="1" customWidth="1"/>
    <col min="27" max="27" width="18.140625" style="1" customWidth="1"/>
    <col min="28" max="28" width="11.5703125" style="1"/>
    <col min="29" max="29" width="4" style="1" customWidth="1"/>
    <col min="30" max="30" width="18.140625" style="1" customWidth="1"/>
    <col min="31" max="31" width="11.5703125" style="1"/>
    <col min="32" max="32" width="4" style="1" customWidth="1"/>
    <col min="33" max="33" width="18.140625" style="1" customWidth="1"/>
    <col min="34" max="34" width="11.5703125" style="1"/>
    <col min="35" max="35" width="4" style="1" customWidth="1"/>
    <col min="36" max="36" width="18.140625" style="1" customWidth="1"/>
    <col min="37" max="37" width="11.5703125" style="1"/>
    <col min="38" max="38" width="4" style="1" customWidth="1"/>
    <col min="39" max="39" width="18.140625" style="1" customWidth="1"/>
    <col min="40" max="40" width="11.5703125" style="1"/>
    <col min="41" max="41" width="4" style="1" customWidth="1"/>
    <col min="42" max="42" width="18.140625" style="1" customWidth="1"/>
    <col min="43" max="43" width="11.5703125" style="1"/>
    <col min="44" max="44" width="4" style="1" customWidth="1"/>
    <col min="45" max="16384" width="11.5703125" style="1"/>
  </cols>
  <sheetData>
    <row r="1" spans="1:44" x14ac:dyDescent="0.25">
      <c r="C1" s="167" t="s">
        <v>47</v>
      </c>
      <c r="D1" s="167"/>
      <c r="E1" s="5"/>
      <c r="F1" s="167" t="s">
        <v>0</v>
      </c>
      <c r="G1" s="167"/>
      <c r="H1" s="5"/>
      <c r="I1" s="167" t="s">
        <v>118</v>
      </c>
      <c r="J1" s="167"/>
      <c r="K1" s="5"/>
      <c r="L1" s="167" t="s">
        <v>1</v>
      </c>
      <c r="M1" s="167"/>
      <c r="N1" s="5"/>
      <c r="O1" s="167" t="s">
        <v>2</v>
      </c>
      <c r="P1" s="167"/>
      <c r="Q1" s="5"/>
      <c r="R1" s="167" t="s">
        <v>3</v>
      </c>
      <c r="S1" s="167"/>
      <c r="T1" s="5"/>
      <c r="U1" s="167" t="s">
        <v>4</v>
      </c>
      <c r="V1" s="167"/>
      <c r="W1" s="5"/>
      <c r="X1" s="167" t="s">
        <v>5</v>
      </c>
      <c r="Y1" s="167"/>
      <c r="Z1" s="5"/>
      <c r="AA1" s="167" t="s">
        <v>6</v>
      </c>
      <c r="AB1" s="167"/>
      <c r="AC1" s="5"/>
      <c r="AD1" s="167" t="s">
        <v>7</v>
      </c>
      <c r="AE1" s="167"/>
      <c r="AF1" s="5"/>
      <c r="AG1" s="167" t="s">
        <v>8</v>
      </c>
      <c r="AH1" s="167"/>
      <c r="AI1" s="5"/>
      <c r="AJ1" s="167" t="s">
        <v>9</v>
      </c>
      <c r="AK1" s="167"/>
      <c r="AL1" s="5"/>
      <c r="AM1" s="167" t="s">
        <v>120</v>
      </c>
      <c r="AN1" s="167"/>
      <c r="AO1" s="5"/>
      <c r="AP1" s="167" t="s">
        <v>53</v>
      </c>
      <c r="AQ1" s="167"/>
      <c r="AR1" s="5"/>
    </row>
    <row r="2" spans="1:44" x14ac:dyDescent="0.25">
      <c r="B2" s="1" t="str">
        <f>+Vorgabe_2012!A5</f>
        <v>1. Ausbildung</v>
      </c>
      <c r="C2" s="2" t="s">
        <v>14</v>
      </c>
      <c r="D2" s="3">
        <f>VLOOKUP(C2,Vorgabe_2012!$A$6:$B$10,2)</f>
        <v>3</v>
      </c>
      <c r="E2" s="5"/>
      <c r="F2" s="2" t="s">
        <v>13</v>
      </c>
      <c r="G2" s="3">
        <f>VLOOKUP(F2,Vorgabe_2012!$A$6:$B$10,2)</f>
        <v>4</v>
      </c>
      <c r="H2" s="5"/>
      <c r="I2" s="2" t="s">
        <v>14</v>
      </c>
      <c r="J2" s="3">
        <f>VLOOKUP(I2,Vorgabe_2012!$A$6:$B$10,2)</f>
        <v>3</v>
      </c>
      <c r="K2" s="5"/>
      <c r="L2" s="2" t="s">
        <v>186</v>
      </c>
      <c r="M2" s="3">
        <f>VLOOKUP(L2,Vorgabe_2012!$A$6:$B$10,2)</f>
        <v>3</v>
      </c>
      <c r="N2" s="5"/>
      <c r="O2" s="2" t="s">
        <v>186</v>
      </c>
      <c r="P2" s="3">
        <f>VLOOKUP(O2,Vorgabe_2012!$A$6:$B$10,2)</f>
        <v>3</v>
      </c>
      <c r="Q2" s="5"/>
      <c r="R2" s="2" t="s">
        <v>186</v>
      </c>
      <c r="S2" s="3">
        <f>VLOOKUP(R2,Vorgabe_2012!$A$6:$B$10,2)</f>
        <v>3</v>
      </c>
      <c r="T2" s="5"/>
      <c r="U2" s="2" t="s">
        <v>186</v>
      </c>
      <c r="V2" s="3">
        <f>VLOOKUP(U2,Vorgabe_2012!$A$6:$B$10,2)</f>
        <v>3</v>
      </c>
      <c r="W2" s="5"/>
      <c r="X2" s="2" t="s">
        <v>13</v>
      </c>
      <c r="Y2" s="3">
        <f>VLOOKUP(X2,Vorgabe_2012!$A$6:$B$10,2)</f>
        <v>4</v>
      </c>
      <c r="Z2" s="5"/>
      <c r="AA2" s="2" t="s">
        <v>13</v>
      </c>
      <c r="AB2" s="3">
        <f>VLOOKUP(AA2,Vorgabe_2012!$A$6:$B$10,2)</f>
        <v>4</v>
      </c>
      <c r="AC2" s="5"/>
      <c r="AD2" s="2" t="s">
        <v>186</v>
      </c>
      <c r="AE2" s="3">
        <f>VLOOKUP(AD2,Vorgabe_2012!$A$6:$B$10,2)</f>
        <v>3</v>
      </c>
      <c r="AF2" s="5"/>
      <c r="AG2" s="2" t="s">
        <v>187</v>
      </c>
      <c r="AH2" s="34">
        <f>VLOOKUP(AG2,Vorgabe_2012!$A$6:$B$10,2)</f>
        <v>5</v>
      </c>
      <c r="AI2" s="5"/>
      <c r="AJ2" s="2" t="s">
        <v>187</v>
      </c>
      <c r="AK2" s="3">
        <f>VLOOKUP(AJ2,Vorgabe_2012!$A$6:$B$10,2)</f>
        <v>5</v>
      </c>
      <c r="AL2" s="5"/>
      <c r="AM2" s="2" t="s">
        <v>187</v>
      </c>
      <c r="AN2" s="3">
        <f>VLOOKUP(AM2,Vorgabe_2012!$A$6:$B$10,2)</f>
        <v>5</v>
      </c>
      <c r="AO2" s="5"/>
      <c r="AP2" s="2" t="s">
        <v>186</v>
      </c>
      <c r="AQ2" s="3">
        <f>VLOOKUP(AP2,Vorgabe_2012!$A$6:$B$10,2)</f>
        <v>3</v>
      </c>
      <c r="AR2" s="5"/>
    </row>
    <row r="3" spans="1:44" x14ac:dyDescent="0.25">
      <c r="B3" s="1" t="str">
        <f>+Vorgabe_2012!A13</f>
        <v>2. gültige Lizenz</v>
      </c>
      <c r="C3" s="2" t="s">
        <v>15</v>
      </c>
      <c r="D3" s="3">
        <f>VLOOKUP(C3,Vorgabe_2012!$A$14:$B$15,2)</f>
        <v>0</v>
      </c>
      <c r="E3" s="5"/>
      <c r="F3" s="2" t="s">
        <v>16</v>
      </c>
      <c r="G3" s="3">
        <f>VLOOKUP(F3,Vorgabe_2012!$A$14:$B$15,2)</f>
        <v>1</v>
      </c>
      <c r="H3" s="5"/>
      <c r="I3" s="2" t="s">
        <v>15</v>
      </c>
      <c r="J3" s="3">
        <f>VLOOKUP(I3,Vorgabe_2012!$A$14:$B$15,2)</f>
        <v>0</v>
      </c>
      <c r="K3" s="5"/>
      <c r="L3" s="2" t="s">
        <v>15</v>
      </c>
      <c r="M3" s="3">
        <f>VLOOKUP(L3,Vorgabe_2012!$A$14:$B$15,2)</f>
        <v>0</v>
      </c>
      <c r="N3" s="5"/>
      <c r="O3" s="2" t="s">
        <v>16</v>
      </c>
      <c r="P3" s="3">
        <f>VLOOKUP(O3,Vorgabe_2012!$A$14:$B$15,2)</f>
        <v>1</v>
      </c>
      <c r="Q3" s="5"/>
      <c r="R3" s="2" t="s">
        <v>16</v>
      </c>
      <c r="S3" s="3">
        <f>VLOOKUP(R3,Vorgabe_2012!$A$14:$B$15,2)</f>
        <v>1</v>
      </c>
      <c r="T3" s="5"/>
      <c r="U3" s="2" t="s">
        <v>16</v>
      </c>
      <c r="V3" s="3">
        <f>VLOOKUP(U3,Vorgabe_2012!$A$14:$B$15,2)</f>
        <v>1</v>
      </c>
      <c r="W3" s="5"/>
      <c r="X3" s="2" t="s">
        <v>16</v>
      </c>
      <c r="Y3" s="3">
        <f>VLOOKUP(X3,Vorgabe_2012!$A$14:$B$15,2)</f>
        <v>1</v>
      </c>
      <c r="Z3" s="5"/>
      <c r="AA3" s="2" t="s">
        <v>16</v>
      </c>
      <c r="AB3" s="3">
        <f>VLOOKUP(AA3,Vorgabe_2012!$A$14:$B$15,2)</f>
        <v>1</v>
      </c>
      <c r="AC3" s="5"/>
      <c r="AD3" s="2" t="s">
        <v>16</v>
      </c>
      <c r="AE3" s="3">
        <f>VLOOKUP(AD3,Vorgabe_2012!$A$14:$B$15,2)</f>
        <v>1</v>
      </c>
      <c r="AF3" s="5"/>
      <c r="AG3" s="2" t="s">
        <v>16</v>
      </c>
      <c r="AH3" s="34">
        <f>VLOOKUP(AG3,Vorgabe_2012!$A$14:$B$15,2)</f>
        <v>1</v>
      </c>
      <c r="AI3" s="5"/>
      <c r="AJ3" s="2" t="s">
        <v>16</v>
      </c>
      <c r="AK3" s="3">
        <f>VLOOKUP(AJ3,Vorgabe_2012!$A$14:$B$15,2)</f>
        <v>1</v>
      </c>
      <c r="AL3" s="5"/>
      <c r="AM3" s="2" t="s">
        <v>16</v>
      </c>
      <c r="AN3" s="3">
        <f>VLOOKUP(AM3,Vorgabe_2012!$A$14:$B$15,2)</f>
        <v>1</v>
      </c>
      <c r="AO3" s="5"/>
      <c r="AP3" s="2" t="s">
        <v>16</v>
      </c>
      <c r="AQ3" s="3">
        <f>VLOOKUP(AP3,Vorgabe_2012!$A$14:$B$15,2)</f>
        <v>1</v>
      </c>
      <c r="AR3" s="5"/>
    </row>
    <row r="4" spans="1:44" x14ac:dyDescent="0.25">
      <c r="B4" s="1" t="str">
        <f>+Vorgabe_2012!A18</f>
        <v>3. Erfahrung</v>
      </c>
      <c r="C4" s="2" t="s">
        <v>17</v>
      </c>
      <c r="D4" s="3">
        <f>VLOOKUP(C4,Vorgabe_2012!$A$19:$B$22,2)</f>
        <v>2</v>
      </c>
      <c r="E4" s="5"/>
      <c r="F4" s="2" t="s">
        <v>17</v>
      </c>
      <c r="G4" s="3">
        <f>VLOOKUP(F4,Vorgabe_2012!$A$19:$B$22,2)</f>
        <v>2</v>
      </c>
      <c r="H4" s="5"/>
      <c r="I4" s="2" t="s">
        <v>17</v>
      </c>
      <c r="J4" s="3">
        <f>VLOOKUP(I4,Vorgabe_2012!$A$19:$B$22,2)</f>
        <v>2</v>
      </c>
      <c r="K4" s="5"/>
      <c r="L4" s="2" t="s">
        <v>17</v>
      </c>
      <c r="M4" s="3">
        <f>VLOOKUP(L4,Vorgabe_2012!$A$19:$B$22,2)</f>
        <v>2</v>
      </c>
      <c r="N4" s="5"/>
      <c r="O4" s="2" t="s">
        <v>18</v>
      </c>
      <c r="P4" s="3">
        <f>VLOOKUP(O4,Vorgabe_2012!$A$19:$B$22,2)</f>
        <v>1.5</v>
      </c>
      <c r="Q4" s="5"/>
      <c r="R4" s="2" t="s">
        <v>17</v>
      </c>
      <c r="S4" s="3">
        <f>VLOOKUP(R4,Vorgabe_2012!$A$19:$B$22,2)</f>
        <v>2</v>
      </c>
      <c r="T4" s="5"/>
      <c r="U4" s="2" t="s">
        <v>18</v>
      </c>
      <c r="V4" s="3">
        <f>VLOOKUP(U4,Vorgabe_2012!$A$19:$B$22,2)</f>
        <v>1.5</v>
      </c>
      <c r="W4" s="5"/>
      <c r="X4" s="2" t="s">
        <v>17</v>
      </c>
      <c r="Y4" s="3">
        <f>VLOOKUP(X4,Vorgabe_2012!$A$19:$B$22,2)</f>
        <v>2</v>
      </c>
      <c r="Z4" s="5"/>
      <c r="AA4" s="2" t="s">
        <v>17</v>
      </c>
      <c r="AB4" s="3">
        <f>VLOOKUP(AA4,Vorgabe_2012!$A$19:$B$22,2)</f>
        <v>2</v>
      </c>
      <c r="AC4" s="5"/>
      <c r="AD4" s="2" t="s">
        <v>19</v>
      </c>
      <c r="AE4" s="3">
        <f>VLOOKUP(AD4,Vorgabe_2012!$A$19:$B$22,2)</f>
        <v>1</v>
      </c>
      <c r="AF4" s="5"/>
      <c r="AG4" s="2" t="s">
        <v>20</v>
      </c>
      <c r="AH4" s="3">
        <f>VLOOKUP(AG4,Vorgabe_2012!$A$19:$B$22,2)</f>
        <v>0.5</v>
      </c>
      <c r="AI4" s="5"/>
      <c r="AJ4" s="2" t="s">
        <v>20</v>
      </c>
      <c r="AK4" s="3">
        <f>VLOOKUP(AJ4,Vorgabe_2012!$A$19:$B$22,2)</f>
        <v>0.5</v>
      </c>
      <c r="AL4" s="5"/>
      <c r="AM4" s="2" t="s">
        <v>20</v>
      </c>
      <c r="AN4" s="3">
        <f>VLOOKUP(AM4,Vorgabe_2012!$A$19:$B$22,2)</f>
        <v>0.5</v>
      </c>
      <c r="AO4" s="5"/>
      <c r="AP4" s="2" t="s">
        <v>20</v>
      </c>
      <c r="AQ4" s="3">
        <f>VLOOKUP(AP4,Vorgabe_2012!$A$19:$B$22,2)</f>
        <v>0.5</v>
      </c>
      <c r="AR4" s="5"/>
    </row>
    <row r="5" spans="1:44" x14ac:dyDescent="0.25">
      <c r="B5" s="1" t="str">
        <f>+Vorgabe_2012!A25</f>
        <v>4. Gruppengröße</v>
      </c>
      <c r="C5" s="2" t="s">
        <v>22</v>
      </c>
      <c r="D5" s="3">
        <f>VLOOKUP(C5,Vorgabe_2012!$A$26:$B$30,2)</f>
        <v>2</v>
      </c>
      <c r="E5" s="5"/>
      <c r="F5" s="2" t="s">
        <v>22</v>
      </c>
      <c r="G5" s="3">
        <f>VLOOKUP(F5,Vorgabe_2012!$A$26:$B$30,2)</f>
        <v>2</v>
      </c>
      <c r="H5" s="5"/>
      <c r="I5" s="2" t="s">
        <v>23</v>
      </c>
      <c r="J5" s="3">
        <f>VLOOKUP(I5,Vorgabe_2012!$A$26:$B$30,2)</f>
        <v>1</v>
      </c>
      <c r="K5" s="5"/>
      <c r="L5" s="2" t="s">
        <v>93</v>
      </c>
      <c r="M5" s="3">
        <f>VLOOKUP(L5,Vorgabe_2012!$A$26:$B$30,2)</f>
        <v>1.5</v>
      </c>
      <c r="N5" s="5"/>
      <c r="O5" s="2" t="s">
        <v>93</v>
      </c>
      <c r="P5" s="3">
        <f>VLOOKUP(O5,Vorgabe_2012!$A$26:$B$30,2)</f>
        <v>1.5</v>
      </c>
      <c r="Q5" s="5"/>
      <c r="R5" s="2" t="s">
        <v>23</v>
      </c>
      <c r="S5" s="3">
        <f>VLOOKUP(R5,Vorgabe_2012!$A$26:$B$30,2)</f>
        <v>1</v>
      </c>
      <c r="T5" s="5"/>
      <c r="U5" s="2" t="s">
        <v>93</v>
      </c>
      <c r="V5" s="3">
        <f>VLOOKUP(U5,Vorgabe_2012!$A$26:$B$30,2)</f>
        <v>1.5</v>
      </c>
      <c r="W5" s="5"/>
      <c r="X5" s="2" t="s">
        <v>93</v>
      </c>
      <c r="Y5" s="3">
        <f>VLOOKUP(X5,Vorgabe_2012!$A$26:$B$30,2)</f>
        <v>1.5</v>
      </c>
      <c r="Z5" s="5"/>
      <c r="AA5" s="2" t="s">
        <v>23</v>
      </c>
      <c r="AB5" s="3">
        <f>VLOOKUP(AA5,Vorgabe_2012!$A$26:$B$30,2)</f>
        <v>1</v>
      </c>
      <c r="AC5" s="5"/>
      <c r="AD5" s="2" t="s">
        <v>93</v>
      </c>
      <c r="AE5" s="3">
        <f>VLOOKUP(AD5,Vorgabe_2012!$A$26:$B$30,2)</f>
        <v>1.5</v>
      </c>
      <c r="AF5" s="5"/>
      <c r="AG5" s="2" t="s">
        <v>93</v>
      </c>
      <c r="AH5" s="3">
        <f>VLOOKUP(AG5,Vorgabe_2012!$A$26:$B$30,2)</f>
        <v>1.5</v>
      </c>
      <c r="AI5" s="5"/>
      <c r="AJ5" s="2" t="s">
        <v>93</v>
      </c>
      <c r="AK5" s="3">
        <f>VLOOKUP(AJ5,Vorgabe_2012!$A$26:$B$30,2)</f>
        <v>1.5</v>
      </c>
      <c r="AL5" s="5"/>
      <c r="AM5" s="2" t="s">
        <v>93</v>
      </c>
      <c r="AN5" s="3">
        <f>VLOOKUP(AM5,Vorgabe_2012!$A$26:$B$30,2)</f>
        <v>1.5</v>
      </c>
      <c r="AO5" s="5"/>
      <c r="AP5" s="2" t="s">
        <v>23</v>
      </c>
      <c r="AQ5" s="3">
        <f>VLOOKUP(AP5,Vorgabe_2012!$A$26:$B$30,2)</f>
        <v>1</v>
      </c>
      <c r="AR5" s="5"/>
    </row>
    <row r="6" spans="1:44" x14ac:dyDescent="0.25">
      <c r="B6" s="1" t="str">
        <f>+Vorgabe_2012!A33</f>
        <v>5. Wettkampfbeteiligung</v>
      </c>
      <c r="C6" s="2" t="s">
        <v>95</v>
      </c>
      <c r="D6" s="3">
        <f>VLOOKUP(C6,Vorgabe_2012!$A$34:$B$35,2)</f>
        <v>1</v>
      </c>
      <c r="E6" s="5"/>
      <c r="F6" s="2" t="s">
        <v>15</v>
      </c>
      <c r="G6" s="3">
        <f>VLOOKUP(F6,Vorgabe_2012!$A$34:$B$35,2)</f>
        <v>0</v>
      </c>
      <c r="H6" s="5"/>
      <c r="I6" s="2" t="s">
        <v>15</v>
      </c>
      <c r="J6" s="3">
        <f>VLOOKUP(I6,Vorgabe_2012!$A$34:$B$35,2)</f>
        <v>0</v>
      </c>
      <c r="K6" s="5"/>
      <c r="L6" s="2" t="s">
        <v>15</v>
      </c>
      <c r="M6" s="3">
        <f>VLOOKUP(L6,Vorgabe_2012!$A$34:$B$35,2)</f>
        <v>0</v>
      </c>
      <c r="N6" s="5"/>
      <c r="O6" s="2" t="s">
        <v>15</v>
      </c>
      <c r="P6" s="3">
        <f>VLOOKUP(O6,Vorgabe_2012!$A$34:$B$35,2)</f>
        <v>0</v>
      </c>
      <c r="Q6" s="5"/>
      <c r="R6" s="2" t="s">
        <v>15</v>
      </c>
      <c r="S6" s="3">
        <f>VLOOKUP(R6,Vorgabe_2012!$A$34:$B$35,2)</f>
        <v>0</v>
      </c>
      <c r="T6" s="5"/>
      <c r="U6" s="2" t="s">
        <v>15</v>
      </c>
      <c r="V6" s="3">
        <f>VLOOKUP(U6,Vorgabe_2012!$A$34:$B$35,2)</f>
        <v>0</v>
      </c>
      <c r="W6" s="5"/>
      <c r="X6" s="2" t="s">
        <v>15</v>
      </c>
      <c r="Y6" s="3">
        <f>VLOOKUP(X6,Vorgabe_2012!$A$34:$B$35,2)</f>
        <v>0</v>
      </c>
      <c r="Z6" s="5"/>
      <c r="AA6" s="2" t="s">
        <v>15</v>
      </c>
      <c r="AB6" s="3">
        <f>VLOOKUP(AA6,Vorgabe_2012!$A$34:$B$35,2)</f>
        <v>0</v>
      </c>
      <c r="AC6" s="5"/>
      <c r="AD6" s="2" t="s">
        <v>15</v>
      </c>
      <c r="AE6" s="3">
        <f>VLOOKUP(AD6,Vorgabe_2012!$A$34:$B$35,2)</f>
        <v>0</v>
      </c>
      <c r="AF6" s="5"/>
      <c r="AG6" s="2" t="s">
        <v>15</v>
      </c>
      <c r="AH6" s="3">
        <f>VLOOKUP(AG6,Vorgabe_2012!$A$34:$B$35,2)</f>
        <v>0</v>
      </c>
      <c r="AI6" s="5"/>
      <c r="AJ6" s="2" t="s">
        <v>15</v>
      </c>
      <c r="AK6" s="3">
        <f>VLOOKUP(AJ6,Vorgabe_2012!$A$34:$B$35,2)</f>
        <v>0</v>
      </c>
      <c r="AL6" s="5"/>
      <c r="AM6" s="2" t="s">
        <v>15</v>
      </c>
      <c r="AN6" s="3">
        <f>VLOOKUP(AM6,Vorgabe_2012!$A$34:$B$35,2)</f>
        <v>0</v>
      </c>
      <c r="AO6" s="5"/>
      <c r="AP6" s="2" t="s">
        <v>15</v>
      </c>
      <c r="AQ6" s="3">
        <f>VLOOKUP(AP6,Vorgabe_2012!$A$34:$B$35,2)</f>
        <v>0</v>
      </c>
      <c r="AR6" s="5"/>
    </row>
    <row r="7" spans="1:44" x14ac:dyDescent="0.25">
      <c r="E7" s="5"/>
      <c r="H7" s="5"/>
      <c r="K7" s="5"/>
      <c r="N7" s="5"/>
      <c r="Q7" s="5"/>
      <c r="T7" s="5"/>
      <c r="W7" s="5"/>
      <c r="Z7" s="5"/>
      <c r="AC7" s="5"/>
      <c r="AF7" s="5"/>
      <c r="AI7" s="5"/>
      <c r="AL7" s="5"/>
      <c r="AO7" s="5"/>
      <c r="AR7" s="5"/>
    </row>
    <row r="8" spans="1:44" ht="15.75" thickBot="1" x14ac:dyDescent="0.3">
      <c r="B8" s="1" t="s">
        <v>24</v>
      </c>
      <c r="D8" s="4"/>
      <c r="E8" s="5"/>
      <c r="G8" s="4">
        <f>SUM(G2:G7)</f>
        <v>9</v>
      </c>
      <c r="H8" s="5"/>
      <c r="J8" s="4"/>
      <c r="K8" s="5"/>
      <c r="M8" s="4">
        <f>SUM(M2:M7)</f>
        <v>6.5</v>
      </c>
      <c r="N8" s="5"/>
      <c r="P8" s="4">
        <f>SUM(P2:P7)</f>
        <v>7</v>
      </c>
      <c r="Q8" s="5"/>
      <c r="S8" s="4">
        <f>SUM(S2:S7)</f>
        <v>7</v>
      </c>
      <c r="T8" s="5"/>
      <c r="V8" s="4">
        <f>SUM(V2:V7)</f>
        <v>7</v>
      </c>
      <c r="W8" s="5"/>
      <c r="Y8" s="4">
        <f>SUM(Y2:Y7)</f>
        <v>8.5</v>
      </c>
      <c r="Z8" s="5"/>
      <c r="AB8" s="4">
        <f>SUM(AB2:AB7)</f>
        <v>8</v>
      </c>
      <c r="AC8" s="5"/>
      <c r="AE8" s="4">
        <f>SUM(AE2:AE7)</f>
        <v>6.5</v>
      </c>
      <c r="AF8" s="5"/>
      <c r="AH8" s="4">
        <f>SUM(AH2:AH7)</f>
        <v>8</v>
      </c>
      <c r="AI8" s="5"/>
      <c r="AK8" s="4"/>
      <c r="AL8" s="5"/>
      <c r="AN8" s="4"/>
      <c r="AO8" s="5"/>
      <c r="AQ8" s="4"/>
      <c r="AR8" s="5"/>
    </row>
    <row r="9" spans="1:44" ht="15.75" thickTop="1" x14ac:dyDescent="0.25">
      <c r="D9" s="11"/>
      <c r="E9" s="5"/>
      <c r="G9" s="11"/>
      <c r="H9" s="5"/>
      <c r="J9" s="11"/>
      <c r="K9" s="5"/>
      <c r="M9" s="11"/>
      <c r="N9" s="5"/>
      <c r="P9" s="11"/>
      <c r="Q9" s="5"/>
      <c r="S9" s="11"/>
      <c r="T9" s="5"/>
      <c r="V9" s="11"/>
      <c r="W9" s="5"/>
      <c r="Y9" s="11"/>
      <c r="Z9" s="5"/>
      <c r="AB9" s="11"/>
      <c r="AC9" s="5"/>
      <c r="AE9" s="11"/>
      <c r="AF9" s="5"/>
      <c r="AG9" s="1" t="s">
        <v>25</v>
      </c>
      <c r="AH9" s="11">
        <v>6</v>
      </c>
      <c r="AI9" s="44" t="s">
        <v>188</v>
      </c>
      <c r="AK9" s="11"/>
      <c r="AL9" s="5"/>
      <c r="AN9" s="11"/>
      <c r="AO9" s="5"/>
      <c r="AQ9" s="11"/>
      <c r="AR9" s="5"/>
    </row>
    <row r="10" spans="1:44" x14ac:dyDescent="0.25">
      <c r="B10" s="3" t="s">
        <v>26</v>
      </c>
      <c r="D10" s="12"/>
      <c r="E10" s="5"/>
      <c r="G10" s="12">
        <f>G8*G16*G17</f>
        <v>1080</v>
      </c>
      <c r="H10" s="5"/>
      <c r="J10" s="12"/>
      <c r="K10" s="5"/>
      <c r="M10" s="12">
        <f>M8*M16*M17</f>
        <v>390</v>
      </c>
      <c r="N10" s="5"/>
      <c r="P10" s="12">
        <f>P8*P16*P17</f>
        <v>840</v>
      </c>
      <c r="Q10" s="5"/>
      <c r="S10" s="12">
        <f>S8*S16*S17</f>
        <v>840</v>
      </c>
      <c r="T10" s="5"/>
      <c r="V10" s="12">
        <f>V8*V16*V17</f>
        <v>560</v>
      </c>
      <c r="W10" s="5"/>
      <c r="Y10" s="12">
        <f>Y8*Y16*Y17</f>
        <v>1020</v>
      </c>
      <c r="Z10" s="5"/>
      <c r="AB10" s="12">
        <f>AB8*AB16*AB17</f>
        <v>640</v>
      </c>
      <c r="AC10" s="5"/>
      <c r="AE10" s="12">
        <f>AE8*AE16*AE17</f>
        <v>520</v>
      </c>
      <c r="AF10" s="5"/>
      <c r="AH10" s="12">
        <f>AH8*AH16*AH17</f>
        <v>320</v>
      </c>
      <c r="AI10" s="5"/>
      <c r="AK10" s="12"/>
      <c r="AL10" s="5"/>
      <c r="AN10" s="12"/>
      <c r="AO10" s="5"/>
      <c r="AQ10" s="12"/>
      <c r="AR10" s="5"/>
    </row>
    <row r="13" spans="1:44" s="6" customFormat="1" x14ac:dyDescent="0.25">
      <c r="A13" s="168" t="s">
        <v>100</v>
      </c>
      <c r="B13" s="6" t="s">
        <v>29</v>
      </c>
      <c r="D13" s="7">
        <v>5.5</v>
      </c>
      <c r="G13" s="8">
        <f>+G8</f>
        <v>9</v>
      </c>
      <c r="J13" s="7">
        <v>5.5</v>
      </c>
      <c r="M13" s="8">
        <f>+M8</f>
        <v>6.5</v>
      </c>
      <c r="P13" s="8">
        <f>+P8</f>
        <v>7</v>
      </c>
      <c r="S13" s="8">
        <f>+S8</f>
        <v>7</v>
      </c>
      <c r="V13" s="8">
        <f>+V8</f>
        <v>7</v>
      </c>
      <c r="Y13" s="8">
        <f>+Y8</f>
        <v>8.5</v>
      </c>
      <c r="AB13" s="8">
        <f>+AB8</f>
        <v>8</v>
      </c>
      <c r="AE13" s="8">
        <f>+AE8</f>
        <v>6.5</v>
      </c>
      <c r="AH13" s="8">
        <f>+AH8</f>
        <v>8</v>
      </c>
      <c r="AK13" s="7">
        <v>5.5</v>
      </c>
      <c r="AN13" s="7">
        <v>5.5</v>
      </c>
      <c r="AQ13" s="7">
        <v>2.5</v>
      </c>
    </row>
    <row r="14" spans="1:44" s="6" customFormat="1" x14ac:dyDescent="0.25">
      <c r="A14" s="168"/>
      <c r="B14" s="6" t="s">
        <v>30</v>
      </c>
      <c r="D14" s="8">
        <f>D13*4</f>
        <v>22</v>
      </c>
      <c r="G14" s="8"/>
      <c r="J14" s="8">
        <f>J13*4</f>
        <v>22</v>
      </c>
      <c r="M14" s="8"/>
      <c r="P14" s="8"/>
      <c r="S14" s="8"/>
      <c r="V14" s="8"/>
      <c r="Y14" s="8"/>
      <c r="AB14" s="8"/>
      <c r="AE14" s="8"/>
      <c r="AH14" s="8"/>
      <c r="AK14" s="8">
        <f t="shared" ref="AK14" si="0">AK13*4</f>
        <v>22</v>
      </c>
      <c r="AN14" s="8">
        <f t="shared" ref="AN14" si="1">AN13*4</f>
        <v>22</v>
      </c>
      <c r="AQ14" s="8">
        <f>AQ13*4</f>
        <v>10</v>
      </c>
    </row>
    <row r="15" spans="1:44" s="6" customFormat="1" x14ac:dyDescent="0.25">
      <c r="A15" s="168"/>
    </row>
    <row r="16" spans="1:44" s="6" customFormat="1" x14ac:dyDescent="0.25">
      <c r="A16" s="168"/>
      <c r="B16" s="6" t="s">
        <v>31</v>
      </c>
      <c r="D16" s="9">
        <v>2</v>
      </c>
      <c r="G16" s="9">
        <v>3</v>
      </c>
      <c r="J16" s="9">
        <v>2</v>
      </c>
      <c r="M16" s="9">
        <v>1.5</v>
      </c>
      <c r="P16" s="9">
        <v>3</v>
      </c>
      <c r="S16" s="9">
        <v>3</v>
      </c>
      <c r="V16" s="9">
        <v>2</v>
      </c>
      <c r="Y16" s="9">
        <v>3</v>
      </c>
      <c r="AB16" s="9">
        <v>2</v>
      </c>
      <c r="AE16" s="9">
        <v>2</v>
      </c>
      <c r="AH16" s="9">
        <v>1</v>
      </c>
      <c r="AK16" s="9">
        <v>2</v>
      </c>
      <c r="AN16" s="9">
        <v>2</v>
      </c>
      <c r="AQ16" s="9">
        <v>2</v>
      </c>
    </row>
    <row r="17" spans="1:44" s="6" customFormat="1" x14ac:dyDescent="0.25">
      <c r="A17" s="168"/>
      <c r="B17" s="6" t="s">
        <v>119</v>
      </c>
      <c r="D17" s="9">
        <v>40</v>
      </c>
      <c r="G17" s="9">
        <f>+$D$17</f>
        <v>40</v>
      </c>
      <c r="J17" s="9">
        <v>40</v>
      </c>
      <c r="M17" s="9">
        <f>+$D$17</f>
        <v>40</v>
      </c>
      <c r="P17" s="9">
        <f>+$D$17</f>
        <v>40</v>
      </c>
      <c r="S17" s="9">
        <f>+$D$17</f>
        <v>40</v>
      </c>
      <c r="V17" s="9">
        <f>+$D$17</f>
        <v>40</v>
      </c>
      <c r="Y17" s="9">
        <f>+$D$17</f>
        <v>40</v>
      </c>
      <c r="AB17" s="9">
        <f>+$D$17</f>
        <v>40</v>
      </c>
      <c r="AE17" s="9">
        <f>+$D$17</f>
        <v>40</v>
      </c>
      <c r="AH17" s="9">
        <f>+$D$17</f>
        <v>40</v>
      </c>
      <c r="AK17" s="9">
        <v>40</v>
      </c>
      <c r="AN17" s="9">
        <v>40</v>
      </c>
      <c r="AQ17" s="9">
        <v>40</v>
      </c>
    </row>
    <row r="18" spans="1:44" s="10" customFormat="1" x14ac:dyDescent="0.25">
      <c r="A18" s="169"/>
      <c r="B18" s="10" t="s">
        <v>33</v>
      </c>
      <c r="D18" s="10">
        <f>D14*11</f>
        <v>242</v>
      </c>
      <c r="G18" s="10">
        <f>G17*G16*G13</f>
        <v>1080</v>
      </c>
      <c r="J18" s="10">
        <f>J14*11</f>
        <v>242</v>
      </c>
      <c r="M18" s="10">
        <f>M17*M16*M13</f>
        <v>390</v>
      </c>
      <c r="P18" s="10">
        <f>P17*P16*P13</f>
        <v>840</v>
      </c>
      <c r="S18" s="10">
        <f>S17*S16*S13</f>
        <v>840</v>
      </c>
      <c r="V18" s="10">
        <f>V17*V16*V13</f>
        <v>560</v>
      </c>
      <c r="Y18" s="10">
        <f>Y17*Y16*Y13</f>
        <v>1020</v>
      </c>
      <c r="AB18" s="10">
        <f>AB17*AB16*AB13</f>
        <v>640</v>
      </c>
      <c r="AE18" s="10">
        <f>AE17*AE16*AE13</f>
        <v>520</v>
      </c>
      <c r="AH18" s="10">
        <f>AH17*AH16*AH13</f>
        <v>320</v>
      </c>
      <c r="AK18" s="10">
        <f t="shared" ref="AK18" si="2">AK14*11</f>
        <v>242</v>
      </c>
      <c r="AN18" s="10">
        <f t="shared" ref="AN18" si="3">AN14*11</f>
        <v>242</v>
      </c>
      <c r="AQ18" s="10">
        <f t="shared" ref="AQ18" si="4">AQ14*11</f>
        <v>110</v>
      </c>
    </row>
    <row r="19" spans="1:44" s="3" customFormat="1" x14ac:dyDescent="0.25">
      <c r="A19" s="35"/>
    </row>
    <row r="20" spans="1:44" s="6" customFormat="1" x14ac:dyDescent="0.25">
      <c r="A20" s="212" t="s">
        <v>189</v>
      </c>
      <c r="B20" s="36" t="s">
        <v>29</v>
      </c>
      <c r="C20" s="36"/>
      <c r="D20" s="37">
        <v>7.5</v>
      </c>
      <c r="E20" s="36"/>
      <c r="F20" s="36"/>
      <c r="G20" s="38">
        <f>+G8</f>
        <v>9</v>
      </c>
      <c r="H20" s="36"/>
      <c r="I20" s="36"/>
      <c r="J20" s="37">
        <v>7.5</v>
      </c>
      <c r="K20" s="36"/>
      <c r="L20" s="36"/>
      <c r="M20" s="38">
        <f>+M8</f>
        <v>6.5</v>
      </c>
      <c r="N20" s="36"/>
      <c r="O20" s="36"/>
      <c r="P20" s="38">
        <f>+P8</f>
        <v>7</v>
      </c>
      <c r="Q20" s="36"/>
      <c r="R20" s="36"/>
      <c r="S20" s="38">
        <v>8</v>
      </c>
      <c r="T20" s="36"/>
      <c r="U20" s="36"/>
      <c r="V20" s="38">
        <f>+V8</f>
        <v>7</v>
      </c>
      <c r="W20" s="36"/>
      <c r="X20" s="36"/>
      <c r="Y20" s="38">
        <f>+Y8</f>
        <v>8.5</v>
      </c>
      <c r="Z20" s="36"/>
      <c r="AA20" s="36"/>
      <c r="AB20" s="38">
        <f>+AB13</f>
        <v>8</v>
      </c>
      <c r="AC20" s="36"/>
      <c r="AD20" s="36"/>
      <c r="AE20" s="38">
        <f>+AE13</f>
        <v>6.5</v>
      </c>
      <c r="AF20" s="36"/>
      <c r="AG20" s="36"/>
      <c r="AH20" s="38">
        <f>+AH8</f>
        <v>8</v>
      </c>
      <c r="AI20" s="36"/>
      <c r="AJ20" s="36"/>
      <c r="AK20" s="37">
        <v>7.5</v>
      </c>
      <c r="AL20" s="36"/>
      <c r="AM20" s="36"/>
      <c r="AN20" s="37">
        <v>7.5</v>
      </c>
      <c r="AO20" s="36"/>
      <c r="AP20" s="36"/>
      <c r="AQ20" s="37">
        <v>2.5</v>
      </c>
      <c r="AR20" s="36"/>
    </row>
    <row r="21" spans="1:44" s="6" customFormat="1" x14ac:dyDescent="0.25">
      <c r="A21" s="212"/>
      <c r="B21" s="36" t="s">
        <v>30</v>
      </c>
      <c r="C21" s="36"/>
      <c r="D21" s="38">
        <f>D20*4</f>
        <v>30</v>
      </c>
      <c r="E21" s="36"/>
      <c r="F21" s="36"/>
      <c r="G21" s="38"/>
      <c r="H21" s="36"/>
      <c r="I21" s="36"/>
      <c r="J21" s="38">
        <f>J20*4</f>
        <v>30</v>
      </c>
      <c r="K21" s="36"/>
      <c r="L21" s="36"/>
      <c r="M21" s="38"/>
      <c r="N21" s="36"/>
      <c r="O21" s="36"/>
      <c r="P21" s="38"/>
      <c r="Q21" s="36"/>
      <c r="R21" s="36"/>
      <c r="S21" s="38"/>
      <c r="T21" s="36"/>
      <c r="U21" s="36"/>
      <c r="V21" s="38"/>
      <c r="W21" s="36"/>
      <c r="X21" s="36"/>
      <c r="Y21" s="38"/>
      <c r="Z21" s="36"/>
      <c r="AA21" s="36"/>
      <c r="AB21" s="38"/>
      <c r="AC21" s="36"/>
      <c r="AD21" s="36"/>
      <c r="AE21" s="38"/>
      <c r="AF21" s="36"/>
      <c r="AG21" s="36"/>
      <c r="AH21" s="38"/>
      <c r="AI21" s="36"/>
      <c r="AJ21" s="36"/>
      <c r="AK21" s="38">
        <f t="shared" ref="AK21" si="5">AK20*4</f>
        <v>30</v>
      </c>
      <c r="AL21" s="36"/>
      <c r="AM21" s="36"/>
      <c r="AN21" s="38">
        <f t="shared" ref="AN21" si="6">AN20*4</f>
        <v>30</v>
      </c>
      <c r="AO21" s="36"/>
      <c r="AP21" s="36"/>
      <c r="AQ21" s="38">
        <f t="shared" ref="AQ21" si="7">AQ20*4</f>
        <v>10</v>
      </c>
      <c r="AR21" s="36"/>
    </row>
    <row r="22" spans="1:44" s="6" customFormat="1" x14ac:dyDescent="0.25">
      <c r="A22" s="21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row>
    <row r="23" spans="1:44" s="6" customFormat="1" x14ac:dyDescent="0.25">
      <c r="A23" s="212"/>
      <c r="B23" s="36" t="s">
        <v>31</v>
      </c>
      <c r="C23" s="36"/>
      <c r="D23" s="39">
        <v>2</v>
      </c>
      <c r="E23" s="36"/>
      <c r="F23" s="36"/>
      <c r="G23" s="39">
        <v>3</v>
      </c>
      <c r="H23" s="36"/>
      <c r="I23" s="36"/>
      <c r="J23" s="39">
        <v>2</v>
      </c>
      <c r="K23" s="36"/>
      <c r="L23" s="36"/>
      <c r="M23" s="39">
        <v>1.5</v>
      </c>
      <c r="N23" s="36"/>
      <c r="O23" s="36"/>
      <c r="P23" s="39">
        <v>3</v>
      </c>
      <c r="Q23" s="36"/>
      <c r="R23" s="36"/>
      <c r="S23" s="39">
        <v>3</v>
      </c>
      <c r="T23" s="36"/>
      <c r="U23" s="36"/>
      <c r="V23" s="39">
        <v>2</v>
      </c>
      <c r="W23" s="36"/>
      <c r="X23" s="36"/>
      <c r="Y23" s="39">
        <v>3</v>
      </c>
      <c r="Z23" s="36"/>
      <c r="AA23" s="36"/>
      <c r="AB23" s="39">
        <v>2</v>
      </c>
      <c r="AC23" s="36"/>
      <c r="AD23" s="36"/>
      <c r="AE23" s="39">
        <v>2</v>
      </c>
      <c r="AF23" s="36"/>
      <c r="AG23" s="36"/>
      <c r="AH23" s="39">
        <v>1</v>
      </c>
      <c r="AI23" s="36"/>
      <c r="AJ23" s="36"/>
      <c r="AK23" s="39">
        <v>2</v>
      </c>
      <c r="AL23" s="36"/>
      <c r="AM23" s="36"/>
      <c r="AN23" s="39">
        <v>2</v>
      </c>
      <c r="AO23" s="36"/>
      <c r="AP23" s="36"/>
      <c r="AQ23" s="39">
        <v>2</v>
      </c>
      <c r="AR23" s="36"/>
    </row>
    <row r="24" spans="1:44" s="6" customFormat="1" x14ac:dyDescent="0.25">
      <c r="A24" s="212"/>
      <c r="B24" s="36" t="s">
        <v>119</v>
      </c>
      <c r="C24" s="36"/>
      <c r="D24" s="39">
        <v>40</v>
      </c>
      <c r="E24" s="36"/>
      <c r="F24" s="36"/>
      <c r="G24" s="39">
        <f>+$D$17</f>
        <v>40</v>
      </c>
      <c r="H24" s="36"/>
      <c r="I24" s="36"/>
      <c r="J24" s="39">
        <v>40</v>
      </c>
      <c r="K24" s="36"/>
      <c r="L24" s="36"/>
      <c r="M24" s="39">
        <f>+$D$17</f>
        <v>40</v>
      </c>
      <c r="N24" s="36"/>
      <c r="O24" s="36"/>
      <c r="P24" s="39">
        <f>+$D$17</f>
        <v>40</v>
      </c>
      <c r="Q24" s="36"/>
      <c r="R24" s="36"/>
      <c r="S24" s="39">
        <f>+$D$17</f>
        <v>40</v>
      </c>
      <c r="T24" s="36"/>
      <c r="U24" s="36"/>
      <c r="V24" s="39">
        <f>+$D$17</f>
        <v>40</v>
      </c>
      <c r="W24" s="36"/>
      <c r="X24" s="36"/>
      <c r="Y24" s="39">
        <f>+$D$17</f>
        <v>40</v>
      </c>
      <c r="Z24" s="36"/>
      <c r="AA24" s="36"/>
      <c r="AB24" s="39">
        <f>+$D$17</f>
        <v>40</v>
      </c>
      <c r="AC24" s="36"/>
      <c r="AD24" s="36"/>
      <c r="AE24" s="39">
        <f>+$D$17</f>
        <v>40</v>
      </c>
      <c r="AF24" s="36"/>
      <c r="AG24" s="36"/>
      <c r="AH24" s="39">
        <f>+$D$17</f>
        <v>40</v>
      </c>
      <c r="AI24" s="36"/>
      <c r="AJ24" s="36"/>
      <c r="AK24" s="39">
        <v>40</v>
      </c>
      <c r="AL24" s="36"/>
      <c r="AM24" s="36"/>
      <c r="AN24" s="39">
        <v>40</v>
      </c>
      <c r="AO24" s="36"/>
      <c r="AP24" s="36"/>
      <c r="AQ24" s="39">
        <v>40</v>
      </c>
      <c r="AR24" s="36"/>
    </row>
    <row r="25" spans="1:44" s="10" customFormat="1" x14ac:dyDescent="0.25">
      <c r="A25" s="213"/>
      <c r="B25" s="40" t="s">
        <v>33</v>
      </c>
      <c r="C25" s="40"/>
      <c r="D25" s="40">
        <f>D21*11</f>
        <v>330</v>
      </c>
      <c r="E25" s="40"/>
      <c r="F25" s="40"/>
      <c r="G25" s="40">
        <f>G24*G23*G20</f>
        <v>1080</v>
      </c>
      <c r="H25" s="40"/>
      <c r="I25" s="40"/>
      <c r="J25" s="40">
        <f>J21*11</f>
        <v>330</v>
      </c>
      <c r="K25" s="40"/>
      <c r="L25" s="40"/>
      <c r="M25" s="40">
        <f>M24*M23*M20</f>
        <v>390</v>
      </c>
      <c r="N25" s="40"/>
      <c r="O25" s="40"/>
      <c r="P25" s="40">
        <f>P24*P23*P20</f>
        <v>840</v>
      </c>
      <c r="Q25" s="40"/>
      <c r="R25" s="40"/>
      <c r="S25" s="40">
        <f>S24*S23*S20</f>
        <v>960</v>
      </c>
      <c r="T25" s="40"/>
      <c r="U25" s="40"/>
      <c r="V25" s="40">
        <f>V24*V23*V20</f>
        <v>560</v>
      </c>
      <c r="W25" s="40"/>
      <c r="X25" s="40"/>
      <c r="Y25" s="40">
        <f>Y24*Y23*Y20</f>
        <v>1020</v>
      </c>
      <c r="Z25" s="40"/>
      <c r="AA25" s="40"/>
      <c r="AB25" s="40">
        <f>AB24*AB23*AB20</f>
        <v>640</v>
      </c>
      <c r="AC25" s="40"/>
      <c r="AD25" s="40"/>
      <c r="AE25" s="40">
        <f>AE24*AE23*AE20</f>
        <v>520</v>
      </c>
      <c r="AF25" s="40"/>
      <c r="AG25" s="40"/>
      <c r="AH25" s="40">
        <f>AH24*AH23*AH20</f>
        <v>320</v>
      </c>
      <c r="AI25" s="40"/>
      <c r="AJ25" s="40"/>
      <c r="AK25" s="40">
        <f t="shared" ref="AK25" si="8">AK21*11</f>
        <v>330</v>
      </c>
      <c r="AL25" s="40"/>
      <c r="AM25" s="40"/>
      <c r="AN25" s="40">
        <f t="shared" ref="AN25" si="9">AN21*11</f>
        <v>330</v>
      </c>
      <c r="AO25" s="40"/>
      <c r="AP25" s="40"/>
      <c r="AQ25" s="40">
        <f t="shared" ref="AQ25" si="10">AQ21*11</f>
        <v>110</v>
      </c>
      <c r="AR25" s="40"/>
    </row>
    <row r="26" spans="1:44" s="3" customFormat="1" x14ac:dyDescent="0.25">
      <c r="A26" s="35"/>
    </row>
    <row r="27" spans="1:44" s="6" customFormat="1" ht="15" customHeight="1" x14ac:dyDescent="0.25">
      <c r="A27" s="45">
        <v>1</v>
      </c>
      <c r="B27" s="41" t="s">
        <v>29</v>
      </c>
      <c r="C27" s="41"/>
      <c r="D27" s="46">
        <f>D20+$A$27</f>
        <v>8.5</v>
      </c>
      <c r="E27" s="41"/>
      <c r="F27" s="41"/>
      <c r="G27" s="46">
        <f t="shared" ref="G27" si="11">G20+$A$27</f>
        <v>10</v>
      </c>
      <c r="H27" s="41"/>
      <c r="I27" s="41"/>
      <c r="J27" s="46">
        <f t="shared" ref="J27" si="12">J20+$A$27</f>
        <v>8.5</v>
      </c>
      <c r="K27" s="41"/>
      <c r="L27" s="41"/>
      <c r="M27" s="46">
        <f t="shared" ref="M27" si="13">M20+$A$27</f>
        <v>7.5</v>
      </c>
      <c r="N27" s="41"/>
      <c r="O27" s="41"/>
      <c r="P27" s="46">
        <f t="shared" ref="P27" si="14">P20+$A$27</f>
        <v>8</v>
      </c>
      <c r="Q27" s="41"/>
      <c r="R27" s="41"/>
      <c r="S27" s="46">
        <f t="shared" ref="S27" si="15">S20+$A$27</f>
        <v>9</v>
      </c>
      <c r="T27" s="41"/>
      <c r="U27" s="41"/>
      <c r="V27" s="46">
        <f t="shared" ref="V27" si="16">V20+$A$27</f>
        <v>8</v>
      </c>
      <c r="W27" s="41"/>
      <c r="X27" s="41"/>
      <c r="Y27" s="46">
        <f t="shared" ref="Y27" si="17">Y20+$A$27</f>
        <v>9.5</v>
      </c>
      <c r="Z27" s="41"/>
      <c r="AA27" s="41"/>
      <c r="AB27" s="46">
        <f t="shared" ref="AB27" si="18">AB20+$A$27</f>
        <v>9</v>
      </c>
      <c r="AC27" s="41"/>
      <c r="AD27" s="41"/>
      <c r="AE27" s="46">
        <f t="shared" ref="AE27" si="19">AE20+$A$27</f>
        <v>7.5</v>
      </c>
      <c r="AF27" s="41"/>
      <c r="AG27" s="41"/>
      <c r="AH27" s="46">
        <f t="shared" ref="AH27" si="20">AH20+$A$27</f>
        <v>9</v>
      </c>
      <c r="AI27" s="41"/>
      <c r="AJ27" s="41"/>
      <c r="AK27" s="46">
        <f t="shared" ref="AK27" si="21">AK20+$A$27</f>
        <v>8.5</v>
      </c>
      <c r="AL27" s="41"/>
      <c r="AM27" s="41"/>
      <c r="AN27" s="46">
        <f t="shared" ref="AN27" si="22">AN20+$A$27</f>
        <v>8.5</v>
      </c>
      <c r="AO27" s="41"/>
      <c r="AP27" s="41"/>
      <c r="AQ27" s="46">
        <v>2.5</v>
      </c>
      <c r="AR27" s="41"/>
    </row>
    <row r="28" spans="1:44" s="6" customFormat="1" x14ac:dyDescent="0.25">
      <c r="A28" s="211" t="s">
        <v>190</v>
      </c>
      <c r="B28" s="41" t="s">
        <v>30</v>
      </c>
      <c r="C28" s="41"/>
      <c r="D28" s="47">
        <f>D27*4</f>
        <v>34</v>
      </c>
      <c r="E28" s="41"/>
      <c r="F28" s="41"/>
      <c r="G28" s="47"/>
      <c r="H28" s="41"/>
      <c r="I28" s="41"/>
      <c r="J28" s="47">
        <f>J27*4</f>
        <v>34</v>
      </c>
      <c r="K28" s="41"/>
      <c r="L28" s="41"/>
      <c r="M28" s="47"/>
      <c r="N28" s="41"/>
      <c r="O28" s="41"/>
      <c r="P28" s="47"/>
      <c r="Q28" s="41"/>
      <c r="R28" s="41"/>
      <c r="S28" s="47"/>
      <c r="T28" s="41"/>
      <c r="U28" s="41"/>
      <c r="V28" s="47"/>
      <c r="W28" s="41"/>
      <c r="X28" s="41"/>
      <c r="Y28" s="47"/>
      <c r="Z28" s="41"/>
      <c r="AA28" s="41"/>
      <c r="AB28" s="47"/>
      <c r="AC28" s="41"/>
      <c r="AD28" s="41"/>
      <c r="AE28" s="47"/>
      <c r="AF28" s="41"/>
      <c r="AG28" s="41"/>
      <c r="AH28" s="47"/>
      <c r="AI28" s="41"/>
      <c r="AJ28" s="41"/>
      <c r="AK28" s="47">
        <f t="shared" ref="AK28" si="23">AK27*4</f>
        <v>34</v>
      </c>
      <c r="AL28" s="41"/>
      <c r="AM28" s="41"/>
      <c r="AN28" s="47">
        <f t="shared" ref="AN28" si="24">AN27*4</f>
        <v>34</v>
      </c>
      <c r="AO28" s="41"/>
      <c r="AP28" s="41"/>
      <c r="AQ28" s="47">
        <f t="shared" ref="AQ28" si="25">AQ27*4</f>
        <v>10</v>
      </c>
      <c r="AR28" s="41"/>
    </row>
    <row r="29" spans="1:44" s="6" customFormat="1" x14ac:dyDescent="0.25">
      <c r="A29" s="21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row>
    <row r="30" spans="1:44" s="6" customFormat="1" x14ac:dyDescent="0.25">
      <c r="A30" s="211"/>
      <c r="B30" s="41" t="s">
        <v>31</v>
      </c>
      <c r="C30" s="41"/>
      <c r="D30" s="48">
        <v>2</v>
      </c>
      <c r="E30" s="41"/>
      <c r="F30" s="41"/>
      <c r="G30" s="48">
        <v>3</v>
      </c>
      <c r="H30" s="41"/>
      <c r="I30" s="41"/>
      <c r="J30" s="48">
        <v>2</v>
      </c>
      <c r="K30" s="41"/>
      <c r="L30" s="41"/>
      <c r="M30" s="48">
        <v>1.5</v>
      </c>
      <c r="N30" s="41"/>
      <c r="O30" s="41"/>
      <c r="P30" s="48">
        <v>3</v>
      </c>
      <c r="Q30" s="41"/>
      <c r="R30" s="41"/>
      <c r="S30" s="48">
        <v>3</v>
      </c>
      <c r="T30" s="41"/>
      <c r="U30" s="41"/>
      <c r="V30" s="48">
        <v>2</v>
      </c>
      <c r="W30" s="41"/>
      <c r="X30" s="41"/>
      <c r="Y30" s="48">
        <v>3</v>
      </c>
      <c r="Z30" s="41"/>
      <c r="AA30" s="41"/>
      <c r="AB30" s="48">
        <v>2</v>
      </c>
      <c r="AC30" s="41"/>
      <c r="AD30" s="41"/>
      <c r="AE30" s="48">
        <v>2</v>
      </c>
      <c r="AF30" s="41"/>
      <c r="AG30" s="41"/>
      <c r="AH30" s="48">
        <v>1</v>
      </c>
      <c r="AI30" s="41"/>
      <c r="AJ30" s="41"/>
      <c r="AK30" s="48">
        <v>2</v>
      </c>
      <c r="AL30" s="41"/>
      <c r="AM30" s="41"/>
      <c r="AN30" s="48">
        <v>2</v>
      </c>
      <c r="AO30" s="41"/>
      <c r="AP30" s="41"/>
      <c r="AQ30" s="48">
        <v>2</v>
      </c>
      <c r="AR30" s="41"/>
    </row>
    <row r="31" spans="1:44" s="6" customFormat="1" x14ac:dyDescent="0.25">
      <c r="A31" s="211"/>
      <c r="B31" s="41" t="s">
        <v>119</v>
      </c>
      <c r="C31" s="41"/>
      <c r="D31" s="48">
        <v>40</v>
      </c>
      <c r="E31" s="41"/>
      <c r="F31" s="41"/>
      <c r="G31" s="48">
        <f>+$D$17</f>
        <v>40</v>
      </c>
      <c r="H31" s="41"/>
      <c r="I31" s="41"/>
      <c r="J31" s="48">
        <v>40</v>
      </c>
      <c r="K31" s="41"/>
      <c r="L31" s="41"/>
      <c r="M31" s="48">
        <f>+$D$17</f>
        <v>40</v>
      </c>
      <c r="N31" s="41"/>
      <c r="O31" s="41"/>
      <c r="P31" s="48">
        <f>+$D$17</f>
        <v>40</v>
      </c>
      <c r="Q31" s="41"/>
      <c r="R31" s="41"/>
      <c r="S31" s="48">
        <f>+$D$17</f>
        <v>40</v>
      </c>
      <c r="T31" s="41"/>
      <c r="U31" s="41"/>
      <c r="V31" s="48">
        <f>+$D$17</f>
        <v>40</v>
      </c>
      <c r="W31" s="41"/>
      <c r="X31" s="41"/>
      <c r="Y31" s="48">
        <f>+$D$17</f>
        <v>40</v>
      </c>
      <c r="Z31" s="41"/>
      <c r="AA31" s="41"/>
      <c r="AB31" s="48">
        <f>+$D$17</f>
        <v>40</v>
      </c>
      <c r="AC31" s="41"/>
      <c r="AD31" s="41"/>
      <c r="AE31" s="48">
        <f>+$D$17</f>
        <v>40</v>
      </c>
      <c r="AF31" s="41"/>
      <c r="AG31" s="41"/>
      <c r="AH31" s="48">
        <f>+$D$17</f>
        <v>40</v>
      </c>
      <c r="AI31" s="41"/>
      <c r="AJ31" s="41"/>
      <c r="AK31" s="48">
        <v>40</v>
      </c>
      <c r="AL31" s="41"/>
      <c r="AM31" s="41"/>
      <c r="AN31" s="48">
        <v>40</v>
      </c>
      <c r="AO31" s="41"/>
      <c r="AP31" s="41"/>
      <c r="AQ31" s="48">
        <v>40</v>
      </c>
      <c r="AR31" s="41"/>
    </row>
    <row r="32" spans="1:44" s="10" customFormat="1" x14ac:dyDescent="0.25">
      <c r="A32" s="211"/>
      <c r="B32" s="49" t="s">
        <v>33</v>
      </c>
      <c r="C32" s="49"/>
      <c r="D32" s="49">
        <f>D28*11</f>
        <v>374</v>
      </c>
      <c r="E32" s="49"/>
      <c r="F32" s="49"/>
      <c r="G32" s="49">
        <f>G31*G30*G27</f>
        <v>1200</v>
      </c>
      <c r="H32" s="49"/>
      <c r="I32" s="49"/>
      <c r="J32" s="49">
        <f>J28*11</f>
        <v>374</v>
      </c>
      <c r="K32" s="49"/>
      <c r="L32" s="49"/>
      <c r="M32" s="49">
        <f>M31*M30*M27</f>
        <v>450</v>
      </c>
      <c r="N32" s="49"/>
      <c r="O32" s="49"/>
      <c r="P32" s="49">
        <f>P31*P30*P27</f>
        <v>960</v>
      </c>
      <c r="Q32" s="49"/>
      <c r="R32" s="49"/>
      <c r="S32" s="49">
        <f>S31*S30*S27</f>
        <v>1080</v>
      </c>
      <c r="T32" s="49"/>
      <c r="U32" s="49"/>
      <c r="V32" s="49">
        <f>V31*V30*V27</f>
        <v>640</v>
      </c>
      <c r="W32" s="49"/>
      <c r="X32" s="49"/>
      <c r="Y32" s="49">
        <f>Y31*Y30*Y27</f>
        <v>1140</v>
      </c>
      <c r="Z32" s="49"/>
      <c r="AA32" s="49"/>
      <c r="AB32" s="49">
        <f>AB31*AB30*AB27</f>
        <v>720</v>
      </c>
      <c r="AC32" s="49"/>
      <c r="AD32" s="49"/>
      <c r="AE32" s="49">
        <f>AE31*AE30*AE27</f>
        <v>600</v>
      </c>
      <c r="AF32" s="49"/>
      <c r="AG32" s="49"/>
      <c r="AH32" s="49">
        <f>AH31*AH30*AH27</f>
        <v>360</v>
      </c>
      <c r="AI32" s="49"/>
      <c r="AJ32" s="49"/>
      <c r="AK32" s="49">
        <f t="shared" ref="AK32" si="26">AK28*11</f>
        <v>374</v>
      </c>
      <c r="AL32" s="49"/>
      <c r="AM32" s="49"/>
      <c r="AN32" s="49">
        <f t="shared" ref="AN32" si="27">AN28*11</f>
        <v>374</v>
      </c>
      <c r="AO32" s="49"/>
      <c r="AP32" s="49"/>
      <c r="AQ32" s="49">
        <f t="shared" ref="AQ32" si="28">AQ28*11</f>
        <v>110</v>
      </c>
      <c r="AR32" s="49"/>
    </row>
    <row r="34" spans="2:44" ht="8.4499999999999993" customHeight="1" x14ac:dyDescent="0.2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6" spans="2:44" ht="15.75" thickBot="1" x14ac:dyDescent="0.3">
      <c r="B36" s="6"/>
      <c r="C36" s="51" t="s">
        <v>34</v>
      </c>
      <c r="D36" s="13">
        <f>SUM(D18:ZZ18)</f>
        <v>7288</v>
      </c>
    </row>
    <row r="37" spans="2:44" ht="16.5" thickTop="1" thickBot="1" x14ac:dyDescent="0.3">
      <c r="B37" s="36"/>
      <c r="C37" s="52" t="s">
        <v>191</v>
      </c>
      <c r="D37" s="43">
        <f>SUM(D25:ZZ25)</f>
        <v>7760</v>
      </c>
      <c r="F37" s="12">
        <f>D37-D36</f>
        <v>472</v>
      </c>
      <c r="G37" s="50">
        <f>F37/D36</f>
        <v>6.4763995609220637E-2</v>
      </c>
    </row>
    <row r="38" spans="2:44" ht="16.5" thickTop="1" thickBot="1" x14ac:dyDescent="0.3">
      <c r="B38" s="41"/>
      <c r="C38" s="53" t="s">
        <v>192</v>
      </c>
      <c r="D38" s="42">
        <f>SUM(D32:ZZ32)</f>
        <v>8756</v>
      </c>
      <c r="F38" s="12">
        <f>D38-D37</f>
        <v>996</v>
      </c>
      <c r="G38" s="50">
        <f>F38/D36</f>
        <v>0.13666300768386389</v>
      </c>
      <c r="I38" s="12">
        <f>F38-F37</f>
        <v>524</v>
      </c>
      <c r="J38" s="50">
        <f>I38/D37</f>
        <v>6.7525773195876285E-2</v>
      </c>
    </row>
    <row r="39" spans="2:44" ht="15.75" thickTop="1" x14ac:dyDescent="0.25"/>
    <row r="40" spans="2:44" x14ac:dyDescent="0.25">
      <c r="B40" s="1" t="s">
        <v>35</v>
      </c>
      <c r="C40" s="1" t="s">
        <v>182</v>
      </c>
      <c r="D40" s="1" t="s">
        <v>183</v>
      </c>
      <c r="E40" s="1" t="s">
        <v>184</v>
      </c>
      <c r="F40" s="1" t="s">
        <v>185</v>
      </c>
      <c r="G40" s="12"/>
    </row>
    <row r="41" spans="2:44" x14ac:dyDescent="0.25">
      <c r="B41" s="32" t="s">
        <v>118</v>
      </c>
    </row>
    <row r="42" spans="2:44" x14ac:dyDescent="0.25">
      <c r="B42" s="33" t="s">
        <v>47</v>
      </c>
    </row>
    <row r="43" spans="2:44" x14ac:dyDescent="0.25">
      <c r="B43" s="33" t="s">
        <v>9</v>
      </c>
    </row>
    <row r="44" spans="2:44" x14ac:dyDescent="0.25">
      <c r="B44" s="33" t="s">
        <v>53</v>
      </c>
    </row>
    <row r="45" spans="2:44" x14ac:dyDescent="0.25">
      <c r="B45" s="33" t="s">
        <v>120</v>
      </c>
    </row>
  </sheetData>
  <sheetProtection selectLockedCells="1"/>
  <mergeCells count="17">
    <mergeCell ref="U1:V1"/>
    <mergeCell ref="A20:A25"/>
    <mergeCell ref="AJ1:AK1"/>
    <mergeCell ref="AM1:AN1"/>
    <mergeCell ref="AP1:AQ1"/>
    <mergeCell ref="AG1:AH1"/>
    <mergeCell ref="X1:Y1"/>
    <mergeCell ref="AA1:AB1"/>
    <mergeCell ref="AD1:AE1"/>
    <mergeCell ref="A28:A32"/>
    <mergeCell ref="A13:A18"/>
    <mergeCell ref="O1:P1"/>
    <mergeCell ref="R1:S1"/>
    <mergeCell ref="C1:D1"/>
    <mergeCell ref="F1:G1"/>
    <mergeCell ref="I1:J1"/>
    <mergeCell ref="L1:M1"/>
  </mergeCells>
  <dataValidations count="5">
    <dataValidation type="list" allowBlank="1" showInputMessage="1" showErrorMessage="1" sqref="X2 AA2 AD2 O2 L2 I2 F2 C2 U2 R2 AG2 AJ2 AM2 AP2" xr:uid="{00000000-0002-0000-0200-000000000000}">
      <formula1>AusbildungSTV</formula1>
    </dataValidation>
    <dataValidation type="list" allowBlank="1" showInputMessage="1" showErrorMessage="1" sqref="X4 AA4 AD4 O4 L4 I4 F4 C4 U4 R4 AG4 AJ4 AM4 AP4" xr:uid="{00000000-0002-0000-0200-000001000000}">
      <formula1>Erfahrung</formula1>
    </dataValidation>
    <dataValidation type="list" allowBlank="1" showInputMessage="1" showErrorMessage="1" sqref="X5 AA5 AD5 O5 L5 I5 F5 C5 U5 R5 AG5 AJ5 AM5 AP5" xr:uid="{00000000-0002-0000-0200-000002000000}">
      <formula1>Gruppengröße</formula1>
    </dataValidation>
    <dataValidation type="list" allowBlank="1" showInputMessage="1" showErrorMessage="1" sqref="X6 AA6 AD6 O6 L6 I6 F6 C6 U6 R6 AG6 AJ6 AM6 AP6" xr:uid="{00000000-0002-0000-0200-000003000000}">
      <formula1>Wettkampfbeteiligung</formula1>
    </dataValidation>
    <dataValidation type="list" allowBlank="1" showInputMessage="1" showErrorMessage="1" sqref="X3 AA3 AD3 O3 L3 I3 F3 C3 U3 R3 AG3 AJ3 AM3 AP3" xr:uid="{00000000-0002-0000-0200-000004000000}">
      <formula1>Lizenz</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14" max="37" man="1"/>
    <brk id="26" max="37" man="1"/>
    <brk id="38" max="37"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5"/>
  <sheetViews>
    <sheetView zoomScaleNormal="100" workbookViewId="0">
      <pane xSplit="2" ySplit="1" topLeftCell="Q2" activePane="bottomRight" state="frozen"/>
      <selection pane="topRight" activeCell="AD5" sqref="AD5"/>
      <selection pane="bottomLeft" activeCell="AD5" sqref="AD5"/>
      <selection pane="bottomRight" activeCell="AD5" sqref="AD5"/>
    </sheetView>
  </sheetViews>
  <sheetFormatPr baseColWidth="10" defaultColWidth="11.5703125" defaultRowHeight="15" x14ac:dyDescent="0.25"/>
  <cols>
    <col min="1" max="1" width="5.28515625" style="1" customWidth="1"/>
    <col min="2" max="2" width="30.42578125" style="1" customWidth="1"/>
    <col min="3" max="3" width="18.140625" style="1" customWidth="1"/>
    <col min="4" max="4" width="11.5703125" style="1"/>
    <col min="5" max="5" width="4" style="1" customWidth="1"/>
    <col min="6" max="6" width="18.140625" style="1" customWidth="1"/>
    <col min="7" max="7" width="11.5703125" style="1"/>
    <col min="8" max="8" width="4" style="1" customWidth="1"/>
    <col min="9" max="9" width="18.140625" style="1" customWidth="1"/>
    <col min="10" max="10" width="11.5703125" style="1"/>
    <col min="11" max="11" width="4" style="1" customWidth="1"/>
    <col min="12" max="12" width="18.140625" style="1" customWidth="1"/>
    <col min="13" max="13" width="11.5703125" style="1"/>
    <col min="14" max="14" width="4" style="1" customWidth="1"/>
    <col min="15" max="15" width="18.140625" style="1" customWidth="1"/>
    <col min="16" max="16" width="11.5703125" style="1"/>
    <col min="17" max="17" width="4" style="1" customWidth="1"/>
    <col min="18" max="18" width="18.140625" style="1" customWidth="1"/>
    <col min="19" max="19" width="11.5703125" style="1"/>
    <col min="20" max="20" width="4" style="1" customWidth="1"/>
    <col min="21" max="21" width="18.140625" style="1" customWidth="1"/>
    <col min="22" max="22" width="11.5703125" style="1"/>
    <col min="23" max="23" width="4" style="1" customWidth="1"/>
    <col min="24" max="24" width="18.140625" style="1" customWidth="1"/>
    <col min="25" max="25" width="11.5703125" style="1"/>
    <col min="26" max="26" width="4" style="1" customWidth="1"/>
    <col min="27" max="27" width="18.140625" style="1" customWidth="1"/>
    <col min="28" max="28" width="11.5703125" style="1"/>
    <col min="29" max="29" width="4" style="1" customWidth="1"/>
    <col min="30" max="30" width="18.140625" style="1" customWidth="1"/>
    <col min="31" max="31" width="11.5703125" style="1"/>
    <col min="32" max="32" width="4" style="1" customWidth="1"/>
    <col min="33" max="33" width="18.140625" style="1" customWidth="1"/>
    <col min="34" max="34" width="11.5703125" style="1"/>
    <col min="35" max="35" width="4" style="1" customWidth="1"/>
    <col min="36" max="36" width="18.140625" style="1" customWidth="1"/>
    <col min="37" max="37" width="11.5703125" style="1"/>
    <col min="38" max="38" width="4" style="1" customWidth="1"/>
    <col min="39" max="39" width="18.140625" style="1" customWidth="1"/>
    <col min="40" max="40" width="11.5703125" style="1"/>
    <col min="41" max="41" width="4" style="1" customWidth="1"/>
    <col min="42" max="42" width="18.140625" style="1" customWidth="1"/>
    <col min="43" max="43" width="11.5703125" style="1"/>
    <col min="44" max="44" width="4" style="1" customWidth="1"/>
    <col min="45" max="16384" width="11.5703125" style="1"/>
  </cols>
  <sheetData>
    <row r="1" spans="1:44" x14ac:dyDescent="0.25">
      <c r="C1" s="167" t="s">
        <v>47</v>
      </c>
      <c r="D1" s="167"/>
      <c r="E1" s="5"/>
      <c r="F1" s="167" t="s">
        <v>0</v>
      </c>
      <c r="G1" s="167"/>
      <c r="H1" s="5"/>
      <c r="I1" s="167" t="s">
        <v>118</v>
      </c>
      <c r="J1" s="167"/>
      <c r="K1" s="5"/>
      <c r="L1" s="167" t="s">
        <v>1</v>
      </c>
      <c r="M1" s="167"/>
      <c r="N1" s="5"/>
      <c r="O1" s="167" t="s">
        <v>2</v>
      </c>
      <c r="P1" s="167"/>
      <c r="Q1" s="5"/>
      <c r="R1" s="167" t="s">
        <v>3</v>
      </c>
      <c r="S1" s="167"/>
      <c r="T1" s="5"/>
      <c r="U1" s="167" t="s">
        <v>4</v>
      </c>
      <c r="V1" s="167"/>
      <c r="W1" s="5"/>
      <c r="X1" s="167" t="s">
        <v>5</v>
      </c>
      <c r="Y1" s="167"/>
      <c r="Z1" s="5"/>
      <c r="AA1" s="167" t="s">
        <v>6</v>
      </c>
      <c r="AB1" s="167"/>
      <c r="AC1" s="5"/>
      <c r="AD1" s="167" t="s">
        <v>7</v>
      </c>
      <c r="AE1" s="167"/>
      <c r="AF1" s="5"/>
      <c r="AG1" s="167" t="s">
        <v>8</v>
      </c>
      <c r="AH1" s="167"/>
      <c r="AI1" s="5"/>
      <c r="AJ1" s="167" t="s">
        <v>9</v>
      </c>
      <c r="AK1" s="167"/>
      <c r="AL1" s="5"/>
      <c r="AM1" s="167" t="s">
        <v>120</v>
      </c>
      <c r="AN1" s="167"/>
      <c r="AO1" s="5"/>
      <c r="AP1" s="167" t="s">
        <v>53</v>
      </c>
      <c r="AQ1" s="167"/>
      <c r="AR1" s="5"/>
    </row>
    <row r="2" spans="1:44" x14ac:dyDescent="0.25">
      <c r="B2" s="1" t="str">
        <f>+Vorgabe_2012!A5</f>
        <v>1. Ausbildung</v>
      </c>
      <c r="C2" s="2" t="s">
        <v>14</v>
      </c>
      <c r="D2" s="3">
        <f>VLOOKUP(C2,Vorgabe_2012!$A$6:$B$10,2)</f>
        <v>3</v>
      </c>
      <c r="E2" s="5"/>
      <c r="F2" s="2" t="s">
        <v>13</v>
      </c>
      <c r="G2" s="3">
        <f>VLOOKUP(F2,Vorgabe_2012!$A$6:$B$10,2)</f>
        <v>4</v>
      </c>
      <c r="H2" s="5"/>
      <c r="I2" s="2" t="s">
        <v>14</v>
      </c>
      <c r="J2" s="3">
        <f>VLOOKUP(I2,Vorgabe_2012!$A$6:$B$10,2)</f>
        <v>3</v>
      </c>
      <c r="K2" s="5"/>
      <c r="L2" s="2" t="s">
        <v>13</v>
      </c>
      <c r="M2" s="3">
        <f>VLOOKUP(L2,Vorgabe_2012!$A$6:$B$10,2)</f>
        <v>4</v>
      </c>
      <c r="N2" s="5"/>
      <c r="O2" s="2" t="s">
        <v>13</v>
      </c>
      <c r="P2" s="3">
        <f>VLOOKUP(O2,Vorgabe_2012!$A$6:$B$10,2)</f>
        <v>4</v>
      </c>
      <c r="Q2" s="5"/>
      <c r="R2" s="2" t="s">
        <v>13</v>
      </c>
      <c r="S2" s="3">
        <f>VLOOKUP(R2,Vorgabe_2012!$A$6:$B$10,2)</f>
        <v>4</v>
      </c>
      <c r="T2" s="5"/>
      <c r="U2" s="2" t="s">
        <v>13</v>
      </c>
      <c r="V2" s="3">
        <f>VLOOKUP(U2,Vorgabe_2012!$A$6:$B$10,2)</f>
        <v>4</v>
      </c>
      <c r="W2" s="5"/>
      <c r="X2" s="2" t="s">
        <v>13</v>
      </c>
      <c r="Y2" s="3">
        <f>VLOOKUP(X2,Vorgabe_2012!$A$6:$B$10,2)</f>
        <v>4</v>
      </c>
      <c r="Z2" s="5"/>
      <c r="AA2" s="2" t="s">
        <v>13</v>
      </c>
      <c r="AB2" s="3">
        <f>VLOOKUP(AA2,Vorgabe_2012!$A$6:$B$10,2)</f>
        <v>4</v>
      </c>
      <c r="AC2" s="5"/>
      <c r="AD2" s="2" t="s">
        <v>13</v>
      </c>
      <c r="AE2" s="3">
        <f>VLOOKUP(AD2,Vorgabe_2012!$A$6:$B$10,2)</f>
        <v>4</v>
      </c>
      <c r="AF2" s="5"/>
      <c r="AG2" s="2" t="s">
        <v>13</v>
      </c>
      <c r="AH2" s="3">
        <f>VLOOKUP(AG2,Vorgabe_2012!$A$6:$B$10,2)</f>
        <v>4</v>
      </c>
      <c r="AI2" s="5"/>
      <c r="AJ2" s="2" t="s">
        <v>13</v>
      </c>
      <c r="AK2" s="3">
        <f>VLOOKUP(AJ2,Vorgabe_2012!$A$6:$B$10,2)</f>
        <v>4</v>
      </c>
      <c r="AL2" s="5"/>
      <c r="AM2" s="2" t="s">
        <v>13</v>
      </c>
      <c r="AN2" s="3">
        <f>VLOOKUP(AM2,Vorgabe_2012!$A$6:$B$10,2)</f>
        <v>4</v>
      </c>
      <c r="AO2" s="5"/>
      <c r="AP2" s="2" t="s">
        <v>14</v>
      </c>
      <c r="AQ2" s="3">
        <f>VLOOKUP(AP2,Vorgabe_2012!$A$6:$B$10,2)</f>
        <v>3</v>
      </c>
      <c r="AR2" s="5"/>
    </row>
    <row r="3" spans="1:44" x14ac:dyDescent="0.25">
      <c r="B3" s="1" t="str">
        <f>+Vorgabe_2012!A13</f>
        <v>2. gültige Lizenz</v>
      </c>
      <c r="C3" s="2" t="s">
        <v>15</v>
      </c>
      <c r="D3" s="3">
        <f>VLOOKUP(C3,Vorgabe_2012!$A$14:$B$15,2)</f>
        <v>0</v>
      </c>
      <c r="E3" s="5"/>
      <c r="F3" s="2" t="s">
        <v>16</v>
      </c>
      <c r="G3" s="3">
        <f>VLOOKUP(F3,Vorgabe_2012!$A$14:$B$15,2)</f>
        <v>1</v>
      </c>
      <c r="H3" s="5"/>
      <c r="I3" s="2" t="s">
        <v>15</v>
      </c>
      <c r="J3" s="3">
        <f>VLOOKUP(I3,Vorgabe_2012!$A$14:$B$15,2)</f>
        <v>0</v>
      </c>
      <c r="K3" s="5"/>
      <c r="L3" s="2" t="s">
        <v>15</v>
      </c>
      <c r="M3" s="3">
        <f>VLOOKUP(L3,Vorgabe_2012!$A$14:$B$15,2)</f>
        <v>0</v>
      </c>
      <c r="N3" s="5"/>
      <c r="O3" s="2" t="s">
        <v>16</v>
      </c>
      <c r="P3" s="3">
        <f>VLOOKUP(O3,Vorgabe_2012!$A$14:$B$15,2)</f>
        <v>1</v>
      </c>
      <c r="Q3" s="5"/>
      <c r="R3" s="2" t="s">
        <v>16</v>
      </c>
      <c r="S3" s="3">
        <f>VLOOKUP(R3,Vorgabe_2012!$A$14:$B$15,2)</f>
        <v>1</v>
      </c>
      <c r="T3" s="5"/>
      <c r="U3" s="2" t="s">
        <v>16</v>
      </c>
      <c r="V3" s="3">
        <f>VLOOKUP(U3,Vorgabe_2012!$A$14:$B$15,2)</f>
        <v>1</v>
      </c>
      <c r="W3" s="5"/>
      <c r="X3" s="2" t="s">
        <v>16</v>
      </c>
      <c r="Y3" s="3">
        <f>VLOOKUP(X3,Vorgabe_2012!$A$14:$B$15,2)</f>
        <v>1</v>
      </c>
      <c r="Z3" s="5"/>
      <c r="AA3" s="2" t="s">
        <v>16</v>
      </c>
      <c r="AB3" s="3">
        <f>VLOOKUP(AA3,Vorgabe_2012!$A$14:$B$15,2)</f>
        <v>1</v>
      </c>
      <c r="AC3" s="5"/>
      <c r="AD3" s="2" t="s">
        <v>16</v>
      </c>
      <c r="AE3" s="3">
        <f>VLOOKUP(AD3,Vorgabe_2012!$A$14:$B$15,2)</f>
        <v>1</v>
      </c>
      <c r="AF3" s="5"/>
      <c r="AG3" s="2" t="s">
        <v>16</v>
      </c>
      <c r="AH3" s="3">
        <f>VLOOKUP(AG3,Vorgabe_2012!$A$14:$B$15,2)</f>
        <v>1</v>
      </c>
      <c r="AI3" s="5"/>
      <c r="AJ3" s="2" t="s">
        <v>16</v>
      </c>
      <c r="AK3" s="3">
        <f>VLOOKUP(AJ3,Vorgabe_2012!$A$14:$B$15,2)</f>
        <v>1</v>
      </c>
      <c r="AL3" s="5"/>
      <c r="AM3" s="2" t="s">
        <v>15</v>
      </c>
      <c r="AN3" s="3">
        <f>VLOOKUP(AM3,Vorgabe_2012!$A$14:$B$15,2)</f>
        <v>0</v>
      </c>
      <c r="AO3" s="5"/>
      <c r="AP3" s="2" t="s">
        <v>15</v>
      </c>
      <c r="AQ3" s="3">
        <f>VLOOKUP(AP3,Vorgabe_2012!$A$14:$B$15,2)</f>
        <v>0</v>
      </c>
      <c r="AR3" s="5"/>
    </row>
    <row r="4" spans="1:44" x14ac:dyDescent="0.25">
      <c r="B4" s="1" t="str">
        <f>+Vorgabe_2012!A18</f>
        <v>3. Erfahrung</v>
      </c>
      <c r="C4" s="2" t="s">
        <v>17</v>
      </c>
      <c r="D4" s="3">
        <f>VLOOKUP(C4,Vorgabe_2012!$A$19:$B$22,2)</f>
        <v>2</v>
      </c>
      <c r="E4" s="5"/>
      <c r="F4" s="2" t="s">
        <v>17</v>
      </c>
      <c r="G4" s="3">
        <f>VLOOKUP(F4,Vorgabe_2012!$A$19:$B$22,2)</f>
        <v>2</v>
      </c>
      <c r="H4" s="5"/>
      <c r="I4" s="2" t="s">
        <v>17</v>
      </c>
      <c r="J4" s="3">
        <f>VLOOKUP(I4,Vorgabe_2012!$A$19:$B$22,2)</f>
        <v>2</v>
      </c>
      <c r="K4" s="5"/>
      <c r="L4" s="2" t="s">
        <v>17</v>
      </c>
      <c r="M4" s="3">
        <f>VLOOKUP(L4,Vorgabe_2012!$A$19:$B$22,2)</f>
        <v>2</v>
      </c>
      <c r="N4" s="5"/>
      <c r="O4" s="2" t="s">
        <v>17</v>
      </c>
      <c r="P4" s="3">
        <f>VLOOKUP(O4,Vorgabe_2012!$A$19:$B$22,2)</f>
        <v>2</v>
      </c>
      <c r="Q4" s="5"/>
      <c r="R4" s="2" t="s">
        <v>17</v>
      </c>
      <c r="S4" s="3">
        <f>VLOOKUP(R4,Vorgabe_2012!$A$19:$B$22,2)</f>
        <v>2</v>
      </c>
      <c r="T4" s="5"/>
      <c r="U4" s="2" t="s">
        <v>18</v>
      </c>
      <c r="V4" s="3">
        <f>VLOOKUP(U4,Vorgabe_2012!$A$19:$B$22,2)</f>
        <v>1.5</v>
      </c>
      <c r="W4" s="5"/>
      <c r="X4" s="2" t="s">
        <v>17</v>
      </c>
      <c r="Y4" s="3">
        <f>VLOOKUP(X4,Vorgabe_2012!$A$19:$B$22,2)</f>
        <v>2</v>
      </c>
      <c r="Z4" s="5"/>
      <c r="AA4" s="2" t="s">
        <v>17</v>
      </c>
      <c r="AB4" s="3">
        <f>VLOOKUP(AA4,Vorgabe_2012!$A$19:$B$22,2)</f>
        <v>2</v>
      </c>
      <c r="AC4" s="5"/>
      <c r="AD4" s="2" t="s">
        <v>19</v>
      </c>
      <c r="AE4" s="3">
        <f>VLOOKUP(AD4,Vorgabe_2012!$A$19:$B$22,2)</f>
        <v>1</v>
      </c>
      <c r="AF4" s="5"/>
      <c r="AG4" s="2" t="s">
        <v>19</v>
      </c>
      <c r="AH4" s="3">
        <f>VLOOKUP(AG4,Vorgabe_2012!$A$19:$B$22,2)</f>
        <v>1</v>
      </c>
      <c r="AI4" s="5"/>
      <c r="AJ4" s="2" t="s">
        <v>19</v>
      </c>
      <c r="AK4" s="3">
        <f>VLOOKUP(AJ4,Vorgabe_2012!$A$19:$B$22,2)</f>
        <v>1</v>
      </c>
      <c r="AL4" s="5"/>
      <c r="AM4" s="2" t="s">
        <v>19</v>
      </c>
      <c r="AN4" s="3">
        <f>VLOOKUP(AM4,Vorgabe_2012!$A$19:$B$22,2)</f>
        <v>1</v>
      </c>
      <c r="AO4" s="5"/>
      <c r="AP4" s="2"/>
      <c r="AQ4" s="3" t="e">
        <f>VLOOKUP(AP4,Vorgabe_2012!$A$19:$B$22,2)</f>
        <v>#N/A</v>
      </c>
      <c r="AR4" s="5"/>
    </row>
    <row r="5" spans="1:44" x14ac:dyDescent="0.25">
      <c r="B5" s="1" t="str">
        <f>+Vorgabe_2012!A25</f>
        <v>4. Gruppengröße</v>
      </c>
      <c r="C5" s="2" t="s">
        <v>22</v>
      </c>
      <c r="D5" s="3">
        <f>VLOOKUP(C5,Vorgabe_2012!$A$26:$B$30,2)</f>
        <v>2</v>
      </c>
      <c r="E5" s="5"/>
      <c r="F5" s="2" t="s">
        <v>21</v>
      </c>
      <c r="G5" s="3">
        <f>VLOOKUP(F5,Vorgabe_2012!$A$26:$B$30,2)</f>
        <v>2.5</v>
      </c>
      <c r="H5" s="5"/>
      <c r="I5" s="2" t="s">
        <v>23</v>
      </c>
      <c r="J5" s="3">
        <f>VLOOKUP(I5,Vorgabe_2012!$A$26:$B$30,2)</f>
        <v>1</v>
      </c>
      <c r="K5" s="5"/>
      <c r="L5" s="2" t="s">
        <v>93</v>
      </c>
      <c r="M5" s="3">
        <f>VLOOKUP(L5,Vorgabe_2012!$A$26:$B$30,2)</f>
        <v>1.5</v>
      </c>
      <c r="N5" s="5"/>
      <c r="O5" s="2" t="s">
        <v>22</v>
      </c>
      <c r="P5" s="3">
        <f>VLOOKUP(O5,Vorgabe_2012!$A$26:$B$30,2)</f>
        <v>2</v>
      </c>
      <c r="Q5" s="5"/>
      <c r="R5" s="2" t="s">
        <v>23</v>
      </c>
      <c r="S5" s="3">
        <f>VLOOKUP(R5,Vorgabe_2012!$A$26:$B$30,2)</f>
        <v>1</v>
      </c>
      <c r="T5" s="5"/>
      <c r="U5" s="2" t="s">
        <v>93</v>
      </c>
      <c r="V5" s="3">
        <f>VLOOKUP(U5,Vorgabe_2012!$A$26:$B$30,2)</f>
        <v>1.5</v>
      </c>
      <c r="W5" s="5"/>
      <c r="X5" s="2" t="s">
        <v>22</v>
      </c>
      <c r="Y5" s="3">
        <f>VLOOKUP(X5,Vorgabe_2012!$A$26:$B$30,2)</f>
        <v>2</v>
      </c>
      <c r="Z5" s="5"/>
      <c r="AA5" s="2" t="s">
        <v>93</v>
      </c>
      <c r="AB5" s="3">
        <f>VLOOKUP(AA5,Vorgabe_2012!$A$26:$B$30,2)</f>
        <v>1.5</v>
      </c>
      <c r="AC5" s="5"/>
      <c r="AD5" s="2" t="s">
        <v>21</v>
      </c>
      <c r="AE5" s="3">
        <f>VLOOKUP(AD5,Vorgabe_2012!$A$26:$B$30,2)</f>
        <v>2.5</v>
      </c>
      <c r="AF5" s="5"/>
      <c r="AG5" s="2" t="s">
        <v>21</v>
      </c>
      <c r="AH5" s="3">
        <f>VLOOKUP(AG5,Vorgabe_2012!$A$26:$B$30,2)</f>
        <v>2.5</v>
      </c>
      <c r="AI5" s="5"/>
      <c r="AJ5" s="2" t="s">
        <v>23</v>
      </c>
      <c r="AK5" s="3">
        <f>VLOOKUP(AJ5,Vorgabe_2012!$A$26:$B$30,2)</f>
        <v>1</v>
      </c>
      <c r="AL5" s="5"/>
      <c r="AM5" s="2" t="s">
        <v>23</v>
      </c>
      <c r="AN5" s="3">
        <f>VLOOKUP(AM5,Vorgabe_2012!$A$26:$B$30,2)</f>
        <v>1</v>
      </c>
      <c r="AO5" s="5"/>
      <c r="AP5" s="2"/>
      <c r="AQ5" s="3" t="e">
        <f>VLOOKUP(AP5,Vorgabe_2012!$A$26:$B$30,2)</f>
        <v>#N/A</v>
      </c>
      <c r="AR5" s="5"/>
    </row>
    <row r="6" spans="1:44" x14ac:dyDescent="0.25">
      <c r="B6" s="1" t="str">
        <f>+Vorgabe_2012!A33</f>
        <v>5. Wettkampfbeteiligung</v>
      </c>
      <c r="C6" s="2" t="s">
        <v>95</v>
      </c>
      <c r="D6" s="3">
        <f>VLOOKUP(C6,Vorgabe_2012!$A$34:$B$35,2)</f>
        <v>1</v>
      </c>
      <c r="E6" s="5"/>
      <c r="F6" s="2" t="s">
        <v>15</v>
      </c>
      <c r="G6" s="3">
        <f>VLOOKUP(F6,Vorgabe_2012!$A$34:$B$35,2)</f>
        <v>0</v>
      </c>
      <c r="H6" s="5"/>
      <c r="I6" s="2" t="s">
        <v>15</v>
      </c>
      <c r="J6" s="3">
        <f>VLOOKUP(I6,Vorgabe_2012!$A$34:$B$35,2)</f>
        <v>0</v>
      </c>
      <c r="K6" s="5"/>
      <c r="L6" s="2" t="s">
        <v>95</v>
      </c>
      <c r="M6" s="3">
        <f>VLOOKUP(L6,Vorgabe_2012!$A$34:$B$35,2)</f>
        <v>1</v>
      </c>
      <c r="N6" s="5"/>
      <c r="O6" s="2" t="s">
        <v>15</v>
      </c>
      <c r="P6" s="3">
        <f>VLOOKUP(O6,Vorgabe_2012!$A$34:$B$35,2)</f>
        <v>0</v>
      </c>
      <c r="Q6" s="5"/>
      <c r="R6" s="2" t="s">
        <v>15</v>
      </c>
      <c r="S6" s="3">
        <f>VLOOKUP(R6,Vorgabe_2012!$A$34:$B$35,2)</f>
        <v>0</v>
      </c>
      <c r="T6" s="5"/>
      <c r="U6" s="2" t="s">
        <v>15</v>
      </c>
      <c r="V6" s="3">
        <f>VLOOKUP(U6,Vorgabe_2012!$A$34:$B$35,2)</f>
        <v>0</v>
      </c>
      <c r="W6" s="5"/>
      <c r="X6" s="2" t="s">
        <v>15</v>
      </c>
      <c r="Y6" s="3">
        <f>VLOOKUP(X6,Vorgabe_2012!$A$34:$B$35,2)</f>
        <v>0</v>
      </c>
      <c r="Z6" s="5"/>
      <c r="AA6" s="2" t="s">
        <v>15</v>
      </c>
      <c r="AB6" s="3">
        <f>VLOOKUP(AA6,Vorgabe_2012!$A$34:$B$35,2)</f>
        <v>0</v>
      </c>
      <c r="AC6" s="5"/>
      <c r="AD6" s="2" t="s">
        <v>15</v>
      </c>
      <c r="AE6" s="3">
        <f>VLOOKUP(AD6,Vorgabe_2012!$A$34:$B$35,2)</f>
        <v>0</v>
      </c>
      <c r="AF6" s="5"/>
      <c r="AG6" s="2" t="s">
        <v>15</v>
      </c>
      <c r="AH6" s="3">
        <f>VLOOKUP(AG6,Vorgabe_2012!$A$34:$B$35,2)</f>
        <v>0</v>
      </c>
      <c r="AI6" s="5"/>
      <c r="AJ6" s="2" t="s">
        <v>15</v>
      </c>
      <c r="AK6" s="3">
        <f>VLOOKUP(AJ6,Vorgabe_2012!$A$34:$B$35,2)</f>
        <v>0</v>
      </c>
      <c r="AL6" s="5"/>
      <c r="AM6" s="2" t="s">
        <v>15</v>
      </c>
      <c r="AN6" s="3">
        <f>VLOOKUP(AM6,Vorgabe_2012!$A$34:$B$35,2)</f>
        <v>0</v>
      </c>
      <c r="AO6" s="5"/>
      <c r="AP6" s="2"/>
      <c r="AQ6" s="3" t="e">
        <f>VLOOKUP(AP6,Vorgabe_2012!$A$34:$B$35,2)</f>
        <v>#N/A</v>
      </c>
      <c r="AR6" s="5"/>
    </row>
    <row r="7" spans="1:44" x14ac:dyDescent="0.25">
      <c r="E7" s="5"/>
      <c r="H7" s="5"/>
      <c r="K7" s="5"/>
      <c r="N7" s="5"/>
      <c r="Q7" s="5"/>
      <c r="T7" s="5"/>
      <c r="W7" s="5"/>
      <c r="Z7" s="5"/>
      <c r="AC7" s="5"/>
      <c r="AF7" s="5"/>
      <c r="AI7" s="5"/>
      <c r="AL7" s="5"/>
      <c r="AO7" s="5"/>
      <c r="AR7" s="5"/>
    </row>
    <row r="8" spans="1:44" ht="15.75" thickBot="1" x14ac:dyDescent="0.3">
      <c r="B8" s="1" t="s">
        <v>24</v>
      </c>
      <c r="D8" s="4"/>
      <c r="E8" s="5"/>
      <c r="G8" s="4">
        <f>SUM(G2:G7)</f>
        <v>9.5</v>
      </c>
      <c r="H8" s="5"/>
      <c r="J8" s="4"/>
      <c r="K8" s="5"/>
      <c r="M8" s="4">
        <f>SUM(M2:M7)</f>
        <v>8.5</v>
      </c>
      <c r="N8" s="5"/>
      <c r="P8" s="4">
        <f>SUM(P2:P7)</f>
        <v>9</v>
      </c>
      <c r="Q8" s="5"/>
      <c r="S8" s="4">
        <f>SUM(S2:S7)</f>
        <v>8</v>
      </c>
      <c r="T8" s="5"/>
      <c r="V8" s="4">
        <f>SUM(V2:V7)</f>
        <v>8</v>
      </c>
      <c r="W8" s="5"/>
      <c r="Y8" s="4">
        <f>SUM(Y2:Y7)</f>
        <v>9</v>
      </c>
      <c r="Z8" s="5"/>
      <c r="AB8" s="4">
        <f>SUM(AB2:AB7)</f>
        <v>8.5</v>
      </c>
      <c r="AC8" s="5"/>
      <c r="AE8" s="4">
        <f>SUM(AE2:AE7)</f>
        <v>8.5</v>
      </c>
      <c r="AF8" s="5"/>
      <c r="AH8" s="4">
        <f>SUM(AH2:AH7)</f>
        <v>8.5</v>
      </c>
      <c r="AI8" s="5"/>
      <c r="AK8" s="4"/>
      <c r="AL8" s="5"/>
      <c r="AN8" s="4"/>
      <c r="AO8" s="5"/>
      <c r="AQ8" s="4"/>
      <c r="AR8" s="5"/>
    </row>
    <row r="9" spans="1:44" ht="15.75" thickTop="1" x14ac:dyDescent="0.25">
      <c r="D9" s="11"/>
      <c r="E9" s="5"/>
      <c r="G9" s="11"/>
      <c r="H9" s="5"/>
      <c r="J9" s="11"/>
      <c r="K9" s="5"/>
      <c r="M9" s="11"/>
      <c r="N9" s="5"/>
      <c r="P9" s="11"/>
      <c r="Q9" s="5"/>
      <c r="S9" s="11"/>
      <c r="T9" s="5"/>
      <c r="V9" s="11"/>
      <c r="W9" s="5"/>
      <c r="Y9" s="11"/>
      <c r="Z9" s="5"/>
      <c r="AB9" s="11"/>
      <c r="AC9" s="5"/>
      <c r="AD9" s="1" t="s">
        <v>25</v>
      </c>
      <c r="AE9" s="11">
        <v>3</v>
      </c>
      <c r="AF9" s="5"/>
      <c r="AG9" s="1" t="s">
        <v>25</v>
      </c>
      <c r="AH9" s="11">
        <v>3</v>
      </c>
      <c r="AI9" s="54"/>
      <c r="AK9" s="11"/>
      <c r="AL9" s="5"/>
      <c r="AN9" s="11"/>
      <c r="AO9" s="5"/>
      <c r="AQ9" s="11"/>
      <c r="AR9" s="5"/>
    </row>
    <row r="10" spans="1:44" x14ac:dyDescent="0.25">
      <c r="B10" s="3" t="s">
        <v>26</v>
      </c>
      <c r="D10" s="12"/>
      <c r="E10" s="5"/>
      <c r="G10" s="12">
        <f>G8*G16*G17</f>
        <v>1140</v>
      </c>
      <c r="H10" s="5"/>
      <c r="J10" s="12"/>
      <c r="K10" s="5"/>
      <c r="M10" s="12">
        <f>M8*M16*M17</f>
        <v>510</v>
      </c>
      <c r="N10" s="5"/>
      <c r="P10" s="12">
        <f>P8*P16*P17</f>
        <v>720</v>
      </c>
      <c r="Q10" s="5"/>
      <c r="S10" s="12">
        <f>S8*S16*S17</f>
        <v>640</v>
      </c>
      <c r="T10" s="5"/>
      <c r="V10" s="12">
        <f>V8*V16*V17</f>
        <v>320</v>
      </c>
      <c r="W10" s="5"/>
      <c r="Y10" s="12">
        <f>Y8*Y16*Y17</f>
        <v>900</v>
      </c>
      <c r="Z10" s="5"/>
      <c r="AB10" s="12">
        <f>AB8*AB16*AB17</f>
        <v>680</v>
      </c>
      <c r="AC10" s="5"/>
      <c r="AE10" s="12">
        <f>AE8*AE16*AE17</f>
        <v>680</v>
      </c>
      <c r="AF10" s="5"/>
      <c r="AH10" s="12">
        <f>AH8*AH16*AH17</f>
        <v>340</v>
      </c>
      <c r="AI10" s="5"/>
      <c r="AK10" s="12"/>
      <c r="AL10" s="5"/>
      <c r="AN10" s="12"/>
      <c r="AO10" s="5"/>
      <c r="AQ10" s="12"/>
      <c r="AR10" s="5"/>
    </row>
    <row r="13" spans="1:44" s="6" customFormat="1" x14ac:dyDescent="0.25">
      <c r="A13" s="168" t="s">
        <v>100</v>
      </c>
      <c r="B13" s="6" t="s">
        <v>29</v>
      </c>
      <c r="D13" s="7">
        <v>5.5</v>
      </c>
      <c r="G13" s="8">
        <f>+G8</f>
        <v>9.5</v>
      </c>
      <c r="J13" s="7">
        <v>5.5</v>
      </c>
      <c r="M13" s="8">
        <f>+M8</f>
        <v>8.5</v>
      </c>
      <c r="P13" s="8">
        <f>+P8</f>
        <v>9</v>
      </c>
      <c r="S13" s="8">
        <f>+S8</f>
        <v>8</v>
      </c>
      <c r="V13" s="8">
        <f>+V8</f>
        <v>8</v>
      </c>
      <c r="Y13" s="8">
        <f>+Y8</f>
        <v>9</v>
      </c>
      <c r="AB13" s="8">
        <f>+AB8</f>
        <v>8.5</v>
      </c>
      <c r="AE13" s="8">
        <f>+AE8</f>
        <v>8.5</v>
      </c>
      <c r="AH13" s="8">
        <f>+AH8</f>
        <v>8.5</v>
      </c>
      <c r="AK13" s="7">
        <v>5.5</v>
      </c>
      <c r="AN13" s="7">
        <v>5.5</v>
      </c>
      <c r="AQ13" s="7">
        <v>2.5</v>
      </c>
    </row>
    <row r="14" spans="1:44" s="6" customFormat="1" x14ac:dyDescent="0.25">
      <c r="A14" s="168"/>
      <c r="B14" s="6" t="s">
        <v>30</v>
      </c>
      <c r="D14" s="8">
        <f>D13*4</f>
        <v>22</v>
      </c>
      <c r="G14" s="8"/>
      <c r="J14" s="8">
        <f>J13*4</f>
        <v>22</v>
      </c>
      <c r="M14" s="8"/>
      <c r="P14" s="8"/>
      <c r="S14" s="8"/>
      <c r="V14" s="8"/>
      <c r="Y14" s="8"/>
      <c r="AB14" s="8"/>
      <c r="AE14" s="8"/>
      <c r="AH14" s="8"/>
      <c r="AK14" s="8">
        <f t="shared" ref="AK14" si="0">AK13*4</f>
        <v>22</v>
      </c>
      <c r="AN14" s="8">
        <f t="shared" ref="AN14" si="1">AN13*4</f>
        <v>22</v>
      </c>
      <c r="AQ14" s="8">
        <f>AQ13*4</f>
        <v>10</v>
      </c>
    </row>
    <row r="15" spans="1:44" s="6" customFormat="1" x14ac:dyDescent="0.25">
      <c r="A15" s="168"/>
    </row>
    <row r="16" spans="1:44" s="6" customFormat="1" x14ac:dyDescent="0.25">
      <c r="A16" s="168"/>
      <c r="B16" s="6" t="s">
        <v>31</v>
      </c>
      <c r="D16" s="9">
        <v>2</v>
      </c>
      <c r="G16" s="9">
        <v>3</v>
      </c>
      <c r="J16" s="9">
        <v>2</v>
      </c>
      <c r="M16" s="9">
        <v>1.5</v>
      </c>
      <c r="P16" s="9">
        <v>2</v>
      </c>
      <c r="S16" s="9">
        <v>2</v>
      </c>
      <c r="V16" s="9">
        <v>1</v>
      </c>
      <c r="Y16" s="9">
        <v>2.5</v>
      </c>
      <c r="AB16" s="9">
        <v>2</v>
      </c>
      <c r="AE16" s="9">
        <v>2</v>
      </c>
      <c r="AH16" s="9">
        <v>1</v>
      </c>
      <c r="AK16" s="9">
        <v>2</v>
      </c>
      <c r="AN16" s="9">
        <v>2</v>
      </c>
      <c r="AQ16" s="9">
        <v>2</v>
      </c>
    </row>
    <row r="17" spans="1:44" s="6" customFormat="1" x14ac:dyDescent="0.25">
      <c r="A17" s="168"/>
      <c r="B17" s="6" t="s">
        <v>119</v>
      </c>
      <c r="D17" s="9">
        <v>40</v>
      </c>
      <c r="G17" s="9">
        <f>+$D$17</f>
        <v>40</v>
      </c>
      <c r="J17" s="9">
        <v>40</v>
      </c>
      <c r="M17" s="9">
        <f>+$D$17</f>
        <v>40</v>
      </c>
      <c r="P17" s="9">
        <f>+$D$17</f>
        <v>40</v>
      </c>
      <c r="S17" s="9">
        <f>+$D$17</f>
        <v>40</v>
      </c>
      <c r="V17" s="9">
        <f>+$D$17</f>
        <v>40</v>
      </c>
      <c r="Y17" s="9">
        <f>+$D$17</f>
        <v>40</v>
      </c>
      <c r="AB17" s="9">
        <f>+$D$17</f>
        <v>40</v>
      </c>
      <c r="AE17" s="9">
        <f>+$D$17</f>
        <v>40</v>
      </c>
      <c r="AH17" s="9">
        <f>+$D$17</f>
        <v>40</v>
      </c>
      <c r="AK17" s="9">
        <v>40</v>
      </c>
      <c r="AN17" s="9">
        <v>40</v>
      </c>
      <c r="AQ17" s="9">
        <v>40</v>
      </c>
    </row>
    <row r="18" spans="1:44" s="10" customFormat="1" x14ac:dyDescent="0.25">
      <c r="A18" s="169"/>
      <c r="B18" s="10" t="s">
        <v>33</v>
      </c>
      <c r="D18" s="10">
        <f>D14*11</f>
        <v>242</v>
      </c>
      <c r="G18" s="10">
        <f>G17*G16*G13</f>
        <v>1140</v>
      </c>
      <c r="J18" s="10">
        <f>J14*11</f>
        <v>242</v>
      </c>
      <c r="M18" s="10">
        <f>M17*M16*M13</f>
        <v>510</v>
      </c>
      <c r="P18" s="10">
        <f>P17*P16*P13</f>
        <v>720</v>
      </c>
      <c r="S18" s="10">
        <f>S17*S16*S13</f>
        <v>640</v>
      </c>
      <c r="V18" s="10">
        <f>V17*V16*V13</f>
        <v>320</v>
      </c>
      <c r="Y18" s="10">
        <f>Y17*Y16*Y13</f>
        <v>900</v>
      </c>
      <c r="AB18" s="10">
        <f>AB17*AB16*AB13</f>
        <v>680</v>
      </c>
      <c r="AE18" s="10">
        <f>AE17*AE16*AE13</f>
        <v>680</v>
      </c>
      <c r="AH18" s="10">
        <f>AH17*AH16*AH13</f>
        <v>340</v>
      </c>
      <c r="AK18" s="10">
        <f t="shared" ref="AK18" si="2">AK14*11</f>
        <v>242</v>
      </c>
      <c r="AN18" s="10">
        <f t="shared" ref="AN18" si="3">AN14*11</f>
        <v>242</v>
      </c>
      <c r="AQ18" s="10">
        <f t="shared" ref="AQ18" si="4">AQ14*11</f>
        <v>110</v>
      </c>
    </row>
    <row r="19" spans="1:44" s="3" customFormat="1" x14ac:dyDescent="0.25">
      <c r="A19" s="35"/>
    </row>
    <row r="20" spans="1:44" s="6" customFormat="1" x14ac:dyDescent="0.25">
      <c r="A20" s="214" t="s">
        <v>193</v>
      </c>
      <c r="B20" s="36" t="s">
        <v>194</v>
      </c>
      <c r="C20" s="36"/>
      <c r="D20" s="37">
        <v>7.5</v>
      </c>
      <c r="E20" s="36"/>
      <c r="F20" s="36"/>
      <c r="G20" s="38">
        <f>+G8</f>
        <v>9.5</v>
      </c>
      <c r="H20" s="36"/>
      <c r="I20" s="36"/>
      <c r="J20" s="37">
        <v>7.5</v>
      </c>
      <c r="K20" s="36"/>
      <c r="L20" s="36"/>
      <c r="M20" s="38">
        <f>+M8</f>
        <v>8.5</v>
      </c>
      <c r="N20" s="36"/>
      <c r="O20" s="36"/>
      <c r="P20" s="38">
        <f>+P8</f>
        <v>9</v>
      </c>
      <c r="Q20" s="36"/>
      <c r="R20" s="36"/>
      <c r="S20" s="38">
        <v>8</v>
      </c>
      <c r="T20" s="36"/>
      <c r="U20" s="36"/>
      <c r="V20" s="38">
        <f>+V8</f>
        <v>8</v>
      </c>
      <c r="W20" s="36"/>
      <c r="X20" s="36"/>
      <c r="Y20" s="38">
        <f>+Y8</f>
        <v>9</v>
      </c>
      <c r="Z20" s="36"/>
      <c r="AA20" s="36"/>
      <c r="AB20" s="38">
        <f>+AB13</f>
        <v>8.5</v>
      </c>
      <c r="AC20" s="36"/>
      <c r="AD20" s="36"/>
      <c r="AE20" s="38">
        <f>+AE13</f>
        <v>8.5</v>
      </c>
      <c r="AF20" s="36"/>
      <c r="AG20" s="36"/>
      <c r="AH20" s="38">
        <f>+AH8</f>
        <v>8.5</v>
      </c>
      <c r="AI20" s="36"/>
      <c r="AJ20" s="36"/>
      <c r="AK20" s="37">
        <v>7.5</v>
      </c>
      <c r="AL20" s="36"/>
      <c r="AM20" s="36"/>
      <c r="AN20" s="37">
        <v>7.5</v>
      </c>
      <c r="AO20" s="36"/>
      <c r="AP20" s="36"/>
      <c r="AQ20" s="37">
        <v>2.5</v>
      </c>
      <c r="AR20" s="36"/>
    </row>
    <row r="21" spans="1:44" s="6" customFormat="1" x14ac:dyDescent="0.25">
      <c r="A21" s="212"/>
      <c r="B21" s="36" t="s">
        <v>195</v>
      </c>
      <c r="C21" s="36"/>
      <c r="D21" s="38">
        <f>D20*4</f>
        <v>30</v>
      </c>
      <c r="E21" s="36"/>
      <c r="F21" s="36"/>
      <c r="G21" s="38"/>
      <c r="H21" s="36"/>
      <c r="I21" s="36"/>
      <c r="J21" s="38">
        <f>J20*4</f>
        <v>30</v>
      </c>
      <c r="K21" s="36"/>
      <c r="L21" s="36"/>
      <c r="M21" s="38"/>
      <c r="N21" s="36"/>
      <c r="O21" s="36"/>
      <c r="P21" s="38"/>
      <c r="Q21" s="36"/>
      <c r="R21" s="36"/>
      <c r="S21" s="38"/>
      <c r="T21" s="36"/>
      <c r="U21" s="36"/>
      <c r="V21" s="38"/>
      <c r="W21" s="36"/>
      <c r="X21" s="36"/>
      <c r="Y21" s="38"/>
      <c r="Z21" s="36"/>
      <c r="AA21" s="36"/>
      <c r="AB21" s="38"/>
      <c r="AC21" s="36"/>
      <c r="AD21" s="36"/>
      <c r="AE21" s="38"/>
      <c r="AF21" s="36"/>
      <c r="AG21" s="36"/>
      <c r="AH21" s="38"/>
      <c r="AI21" s="36"/>
      <c r="AJ21" s="36"/>
      <c r="AK21" s="38">
        <f t="shared" ref="AK21" si="5">AK20*4</f>
        <v>30</v>
      </c>
      <c r="AL21" s="36"/>
      <c r="AM21" s="36"/>
      <c r="AN21" s="38">
        <f t="shared" ref="AN21" si="6">AN20*4</f>
        <v>30</v>
      </c>
      <c r="AO21" s="36"/>
      <c r="AP21" s="36"/>
      <c r="AQ21" s="38">
        <f t="shared" ref="AQ21" si="7">AQ20*4</f>
        <v>10</v>
      </c>
      <c r="AR21" s="36"/>
    </row>
    <row r="22" spans="1:44" s="6" customFormat="1" x14ac:dyDescent="0.25">
      <c r="A22" s="21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row>
    <row r="23" spans="1:44" s="6" customFormat="1" x14ac:dyDescent="0.25">
      <c r="A23" s="212"/>
      <c r="B23" s="36" t="s">
        <v>31</v>
      </c>
      <c r="C23" s="36"/>
      <c r="D23" s="39">
        <v>2</v>
      </c>
      <c r="E23" s="36"/>
      <c r="F23" s="36"/>
      <c r="G23" s="39">
        <v>3</v>
      </c>
      <c r="H23" s="36"/>
      <c r="I23" s="36"/>
      <c r="J23" s="39">
        <v>2</v>
      </c>
      <c r="K23" s="36"/>
      <c r="L23" s="36"/>
      <c r="M23" s="39">
        <v>1.5</v>
      </c>
      <c r="N23" s="36"/>
      <c r="O23" s="36"/>
      <c r="P23" s="39">
        <v>3</v>
      </c>
      <c r="Q23" s="36"/>
      <c r="R23" s="36"/>
      <c r="S23" s="39">
        <v>3</v>
      </c>
      <c r="T23" s="36"/>
      <c r="U23" s="36"/>
      <c r="V23" s="39">
        <v>2</v>
      </c>
      <c r="W23" s="36"/>
      <c r="X23" s="36"/>
      <c r="Y23" s="39">
        <v>3</v>
      </c>
      <c r="Z23" s="36"/>
      <c r="AA23" s="36"/>
      <c r="AB23" s="39">
        <v>2</v>
      </c>
      <c r="AC23" s="36"/>
      <c r="AD23" s="36"/>
      <c r="AE23" s="39">
        <v>2</v>
      </c>
      <c r="AF23" s="36"/>
      <c r="AG23" s="36"/>
      <c r="AH23" s="39">
        <v>1</v>
      </c>
      <c r="AI23" s="36"/>
      <c r="AJ23" s="36"/>
      <c r="AK23" s="39">
        <v>2</v>
      </c>
      <c r="AL23" s="36"/>
      <c r="AM23" s="36"/>
      <c r="AN23" s="39">
        <v>2</v>
      </c>
      <c r="AO23" s="36"/>
      <c r="AP23" s="36"/>
      <c r="AQ23" s="39">
        <v>2</v>
      </c>
      <c r="AR23" s="36"/>
    </row>
    <row r="24" spans="1:44" s="6" customFormat="1" x14ac:dyDescent="0.25">
      <c r="A24" s="212"/>
      <c r="B24" s="36" t="s">
        <v>119</v>
      </c>
      <c r="C24" s="36"/>
      <c r="D24" s="39">
        <v>40</v>
      </c>
      <c r="E24" s="36"/>
      <c r="F24" s="36"/>
      <c r="G24" s="39">
        <f>+$D$17</f>
        <v>40</v>
      </c>
      <c r="H24" s="36"/>
      <c r="I24" s="36"/>
      <c r="J24" s="39">
        <v>40</v>
      </c>
      <c r="K24" s="36"/>
      <c r="L24" s="36"/>
      <c r="M24" s="39">
        <f>+$D$17</f>
        <v>40</v>
      </c>
      <c r="N24" s="36"/>
      <c r="O24" s="36"/>
      <c r="P24" s="39">
        <f>+$D$17</f>
        <v>40</v>
      </c>
      <c r="Q24" s="36"/>
      <c r="R24" s="36"/>
      <c r="S24" s="39">
        <f>+$D$17</f>
        <v>40</v>
      </c>
      <c r="T24" s="36"/>
      <c r="U24" s="36"/>
      <c r="V24" s="39">
        <f>+$D$17</f>
        <v>40</v>
      </c>
      <c r="W24" s="36"/>
      <c r="X24" s="36"/>
      <c r="Y24" s="39">
        <f>+$D$17</f>
        <v>40</v>
      </c>
      <c r="Z24" s="36"/>
      <c r="AA24" s="36"/>
      <c r="AB24" s="39">
        <f>+$D$17</f>
        <v>40</v>
      </c>
      <c r="AC24" s="36"/>
      <c r="AD24" s="36"/>
      <c r="AE24" s="39">
        <f>+$D$17</f>
        <v>40</v>
      </c>
      <c r="AF24" s="36"/>
      <c r="AG24" s="36"/>
      <c r="AH24" s="39">
        <f>+$D$17</f>
        <v>40</v>
      </c>
      <c r="AI24" s="36"/>
      <c r="AJ24" s="36"/>
      <c r="AK24" s="39">
        <v>40</v>
      </c>
      <c r="AL24" s="36"/>
      <c r="AM24" s="36"/>
      <c r="AN24" s="39">
        <v>40</v>
      </c>
      <c r="AO24" s="36"/>
      <c r="AP24" s="36"/>
      <c r="AQ24" s="39">
        <v>40</v>
      </c>
      <c r="AR24" s="36"/>
    </row>
    <row r="25" spans="1:44" s="10" customFormat="1" x14ac:dyDescent="0.25">
      <c r="A25" s="213"/>
      <c r="B25" s="40" t="s">
        <v>33</v>
      </c>
      <c r="C25" s="40"/>
      <c r="D25" s="40">
        <f>D21*11</f>
        <v>330</v>
      </c>
      <c r="E25" s="40"/>
      <c r="F25" s="40"/>
      <c r="G25" s="40">
        <f>G24*G23*G20</f>
        <v>1140</v>
      </c>
      <c r="H25" s="40"/>
      <c r="I25" s="40"/>
      <c r="J25" s="40">
        <f>J21*11</f>
        <v>330</v>
      </c>
      <c r="K25" s="40"/>
      <c r="L25" s="40"/>
      <c r="M25" s="40">
        <f>M24*M23*M20</f>
        <v>510</v>
      </c>
      <c r="N25" s="40"/>
      <c r="O25" s="40"/>
      <c r="P25" s="40">
        <f>P24*P23*P20</f>
        <v>1080</v>
      </c>
      <c r="Q25" s="40"/>
      <c r="R25" s="40"/>
      <c r="S25" s="40">
        <f>S24*S23*S20</f>
        <v>960</v>
      </c>
      <c r="T25" s="40"/>
      <c r="U25" s="40"/>
      <c r="V25" s="40">
        <f>V24*V23*V20</f>
        <v>640</v>
      </c>
      <c r="W25" s="40"/>
      <c r="X25" s="40"/>
      <c r="Y25" s="40">
        <f>Y24*Y23*Y20</f>
        <v>1080</v>
      </c>
      <c r="Z25" s="40"/>
      <c r="AA25" s="40"/>
      <c r="AB25" s="40">
        <f>AB24*AB23*AB20</f>
        <v>680</v>
      </c>
      <c r="AC25" s="40"/>
      <c r="AD25" s="40"/>
      <c r="AE25" s="40">
        <f>AE24*AE23*AE20</f>
        <v>680</v>
      </c>
      <c r="AF25" s="40"/>
      <c r="AG25" s="40"/>
      <c r="AH25" s="40">
        <f>AH24*AH23*AH20</f>
        <v>340</v>
      </c>
      <c r="AI25" s="40"/>
      <c r="AJ25" s="40"/>
      <c r="AK25" s="40">
        <f t="shared" ref="AK25" si="8">AK21*11</f>
        <v>330</v>
      </c>
      <c r="AL25" s="40"/>
      <c r="AM25" s="40"/>
      <c r="AN25" s="40">
        <f t="shared" ref="AN25" si="9">AN21*11</f>
        <v>330</v>
      </c>
      <c r="AO25" s="40"/>
      <c r="AP25" s="40"/>
      <c r="AQ25" s="40">
        <f t="shared" ref="AQ25" si="10">AQ21*11</f>
        <v>110</v>
      </c>
      <c r="AR25" s="40"/>
    </row>
    <row r="26" spans="1:44" s="3" customFormat="1" x14ac:dyDescent="0.25">
      <c r="A26" s="35"/>
    </row>
    <row r="27" spans="1:44" s="6" customFormat="1" ht="15" customHeight="1" x14ac:dyDescent="0.25">
      <c r="A27" s="45">
        <v>1</v>
      </c>
      <c r="B27" s="41" t="s">
        <v>194</v>
      </c>
      <c r="C27" s="41"/>
      <c r="D27" s="46">
        <f>D20+$A$27</f>
        <v>8.5</v>
      </c>
      <c r="E27" s="41"/>
      <c r="F27" s="41"/>
      <c r="G27" s="46">
        <f t="shared" ref="G27" si="11">G20+$A$27</f>
        <v>10.5</v>
      </c>
      <c r="H27" s="41"/>
      <c r="I27" s="41"/>
      <c r="J27" s="46">
        <f t="shared" ref="J27" si="12">J20+$A$27</f>
        <v>8.5</v>
      </c>
      <c r="K27" s="41"/>
      <c r="L27" s="41"/>
      <c r="M27" s="46">
        <f t="shared" ref="M27" si="13">M20+$A$27</f>
        <v>9.5</v>
      </c>
      <c r="N27" s="41"/>
      <c r="O27" s="41"/>
      <c r="P27" s="46">
        <f t="shared" ref="P27" si="14">P20+$A$27</f>
        <v>10</v>
      </c>
      <c r="Q27" s="41"/>
      <c r="R27" s="41"/>
      <c r="S27" s="46">
        <f t="shared" ref="S27" si="15">S20+$A$27</f>
        <v>9</v>
      </c>
      <c r="T27" s="41"/>
      <c r="U27" s="41"/>
      <c r="V27" s="46">
        <f t="shared" ref="V27" si="16">V20+$A$27</f>
        <v>9</v>
      </c>
      <c r="W27" s="41"/>
      <c r="X27" s="41"/>
      <c r="Y27" s="46">
        <f t="shared" ref="Y27" si="17">Y20+$A$27</f>
        <v>10</v>
      </c>
      <c r="Z27" s="41"/>
      <c r="AA27" s="41"/>
      <c r="AB27" s="46">
        <f t="shared" ref="AB27" si="18">AB20+$A$27</f>
        <v>9.5</v>
      </c>
      <c r="AC27" s="41"/>
      <c r="AD27" s="41"/>
      <c r="AE27" s="46">
        <f t="shared" ref="AE27" si="19">AE20+$A$27</f>
        <v>9.5</v>
      </c>
      <c r="AF27" s="41"/>
      <c r="AG27" s="41"/>
      <c r="AH27" s="46">
        <f t="shared" ref="AH27" si="20">AH20+$A$27</f>
        <v>9.5</v>
      </c>
      <c r="AI27" s="41"/>
      <c r="AJ27" s="41"/>
      <c r="AK27" s="46">
        <f t="shared" ref="AK27" si="21">AK20+$A$27</f>
        <v>8.5</v>
      </c>
      <c r="AL27" s="41"/>
      <c r="AM27" s="41"/>
      <c r="AN27" s="46">
        <f t="shared" ref="AN27" si="22">AN20+$A$27</f>
        <v>8.5</v>
      </c>
      <c r="AO27" s="41"/>
      <c r="AP27" s="41"/>
      <c r="AQ27" s="46">
        <v>2.5</v>
      </c>
      <c r="AR27" s="41"/>
    </row>
    <row r="28" spans="1:44" s="6" customFormat="1" x14ac:dyDescent="0.25">
      <c r="A28" s="215" t="s">
        <v>196</v>
      </c>
      <c r="B28" s="41" t="s">
        <v>195</v>
      </c>
      <c r="C28" s="41"/>
      <c r="D28" s="47">
        <f>D27*4</f>
        <v>34</v>
      </c>
      <c r="E28" s="41"/>
      <c r="F28" s="41"/>
      <c r="G28" s="47"/>
      <c r="H28" s="41"/>
      <c r="I28" s="41"/>
      <c r="J28" s="47">
        <f>J27*4</f>
        <v>34</v>
      </c>
      <c r="K28" s="41"/>
      <c r="L28" s="41"/>
      <c r="M28" s="47"/>
      <c r="N28" s="41"/>
      <c r="O28" s="41"/>
      <c r="P28" s="47"/>
      <c r="Q28" s="41"/>
      <c r="R28" s="41"/>
      <c r="S28" s="47"/>
      <c r="T28" s="41"/>
      <c r="U28" s="41"/>
      <c r="V28" s="47"/>
      <c r="W28" s="41"/>
      <c r="X28" s="41"/>
      <c r="Y28" s="47"/>
      <c r="Z28" s="41"/>
      <c r="AA28" s="41"/>
      <c r="AB28" s="47"/>
      <c r="AC28" s="41"/>
      <c r="AD28" s="41"/>
      <c r="AE28" s="47"/>
      <c r="AF28" s="41"/>
      <c r="AG28" s="41"/>
      <c r="AH28" s="47"/>
      <c r="AI28" s="41"/>
      <c r="AJ28" s="41"/>
      <c r="AK28" s="47">
        <f t="shared" ref="AK28" si="23">AK27*4</f>
        <v>34</v>
      </c>
      <c r="AL28" s="41"/>
      <c r="AM28" s="41"/>
      <c r="AN28" s="47">
        <f t="shared" ref="AN28" si="24">AN27*4</f>
        <v>34</v>
      </c>
      <c r="AO28" s="41"/>
      <c r="AP28" s="41"/>
      <c r="AQ28" s="47">
        <f t="shared" ref="AQ28" si="25">AQ27*4</f>
        <v>10</v>
      </c>
      <c r="AR28" s="41"/>
    </row>
    <row r="29" spans="1:44" s="6" customFormat="1" x14ac:dyDescent="0.25">
      <c r="A29" s="21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row>
    <row r="30" spans="1:44" s="6" customFormat="1" x14ac:dyDescent="0.25">
      <c r="A30" s="211"/>
      <c r="B30" s="41" t="s">
        <v>31</v>
      </c>
      <c r="C30" s="41"/>
      <c r="D30" s="48">
        <v>2</v>
      </c>
      <c r="E30" s="41"/>
      <c r="F30" s="41"/>
      <c r="G30" s="48">
        <v>3</v>
      </c>
      <c r="H30" s="41"/>
      <c r="I30" s="41"/>
      <c r="J30" s="48">
        <v>2</v>
      </c>
      <c r="K30" s="41"/>
      <c r="L30" s="41"/>
      <c r="M30" s="48">
        <v>1.5</v>
      </c>
      <c r="N30" s="41"/>
      <c r="O30" s="41"/>
      <c r="P30" s="48">
        <v>3</v>
      </c>
      <c r="Q30" s="41"/>
      <c r="R30" s="41"/>
      <c r="S30" s="48">
        <v>3</v>
      </c>
      <c r="T30" s="41"/>
      <c r="U30" s="41"/>
      <c r="V30" s="48">
        <v>2</v>
      </c>
      <c r="W30" s="41"/>
      <c r="X30" s="41"/>
      <c r="Y30" s="48">
        <v>3</v>
      </c>
      <c r="Z30" s="41"/>
      <c r="AA30" s="41"/>
      <c r="AB30" s="48">
        <v>2</v>
      </c>
      <c r="AC30" s="41"/>
      <c r="AD30" s="41"/>
      <c r="AE30" s="48">
        <v>2</v>
      </c>
      <c r="AF30" s="41"/>
      <c r="AG30" s="41"/>
      <c r="AH30" s="48">
        <v>1</v>
      </c>
      <c r="AI30" s="41"/>
      <c r="AJ30" s="41"/>
      <c r="AK30" s="48">
        <v>2</v>
      </c>
      <c r="AL30" s="41"/>
      <c r="AM30" s="41"/>
      <c r="AN30" s="48">
        <v>2</v>
      </c>
      <c r="AO30" s="41"/>
      <c r="AP30" s="41"/>
      <c r="AQ30" s="48">
        <v>2</v>
      </c>
      <c r="AR30" s="41"/>
    </row>
    <row r="31" spans="1:44" s="6" customFormat="1" x14ac:dyDescent="0.25">
      <c r="A31" s="211"/>
      <c r="B31" s="41" t="s">
        <v>119</v>
      </c>
      <c r="C31" s="41"/>
      <c r="D31" s="48">
        <v>40</v>
      </c>
      <c r="E31" s="41"/>
      <c r="F31" s="41"/>
      <c r="G31" s="48">
        <f>+$D$17</f>
        <v>40</v>
      </c>
      <c r="H31" s="41"/>
      <c r="I31" s="41"/>
      <c r="J31" s="48">
        <v>40</v>
      </c>
      <c r="K31" s="41"/>
      <c r="L31" s="41"/>
      <c r="M31" s="48">
        <f>+$D$17</f>
        <v>40</v>
      </c>
      <c r="N31" s="41"/>
      <c r="O31" s="41"/>
      <c r="P31" s="48">
        <f>+$D$17</f>
        <v>40</v>
      </c>
      <c r="Q31" s="41"/>
      <c r="R31" s="41"/>
      <c r="S31" s="48">
        <f>+$D$17</f>
        <v>40</v>
      </c>
      <c r="T31" s="41"/>
      <c r="U31" s="41"/>
      <c r="V31" s="48">
        <f>+$D$17</f>
        <v>40</v>
      </c>
      <c r="W31" s="41"/>
      <c r="X31" s="41"/>
      <c r="Y31" s="48">
        <f>+$D$17</f>
        <v>40</v>
      </c>
      <c r="Z31" s="41"/>
      <c r="AA31" s="41"/>
      <c r="AB31" s="48">
        <f>+$D$17</f>
        <v>40</v>
      </c>
      <c r="AC31" s="41"/>
      <c r="AD31" s="41"/>
      <c r="AE31" s="48">
        <f>+$D$17</f>
        <v>40</v>
      </c>
      <c r="AF31" s="41"/>
      <c r="AG31" s="41"/>
      <c r="AH31" s="48">
        <f>+$D$17</f>
        <v>40</v>
      </c>
      <c r="AI31" s="41"/>
      <c r="AJ31" s="41"/>
      <c r="AK31" s="48">
        <v>40</v>
      </c>
      <c r="AL31" s="41"/>
      <c r="AM31" s="41"/>
      <c r="AN31" s="48">
        <v>40</v>
      </c>
      <c r="AO31" s="41"/>
      <c r="AP31" s="41"/>
      <c r="AQ31" s="48">
        <v>40</v>
      </c>
      <c r="AR31" s="41"/>
    </row>
    <row r="32" spans="1:44" s="10" customFormat="1" x14ac:dyDescent="0.25">
      <c r="A32" s="211"/>
      <c r="B32" s="49" t="s">
        <v>33</v>
      </c>
      <c r="C32" s="49"/>
      <c r="D32" s="49">
        <f>D28*11</f>
        <v>374</v>
      </c>
      <c r="E32" s="49"/>
      <c r="F32" s="49"/>
      <c r="G32" s="49">
        <f>G31*G30*G27</f>
        <v>1260</v>
      </c>
      <c r="H32" s="49"/>
      <c r="I32" s="49"/>
      <c r="J32" s="49">
        <f>J28*11</f>
        <v>374</v>
      </c>
      <c r="K32" s="49"/>
      <c r="L32" s="49"/>
      <c r="M32" s="49">
        <f>M31*M30*M27</f>
        <v>570</v>
      </c>
      <c r="N32" s="49"/>
      <c r="O32" s="49"/>
      <c r="P32" s="49">
        <f>P31*P30*P27</f>
        <v>1200</v>
      </c>
      <c r="Q32" s="49"/>
      <c r="R32" s="49"/>
      <c r="S32" s="49">
        <f>S31*S30*S27</f>
        <v>1080</v>
      </c>
      <c r="T32" s="49"/>
      <c r="U32" s="49"/>
      <c r="V32" s="49">
        <f>V31*V30*V27</f>
        <v>720</v>
      </c>
      <c r="W32" s="49"/>
      <c r="X32" s="49"/>
      <c r="Y32" s="49">
        <f>Y31*Y30*Y27</f>
        <v>1200</v>
      </c>
      <c r="Z32" s="49"/>
      <c r="AA32" s="49"/>
      <c r="AB32" s="49">
        <f>AB31*AB30*AB27</f>
        <v>760</v>
      </c>
      <c r="AC32" s="49"/>
      <c r="AD32" s="49"/>
      <c r="AE32" s="49">
        <f>AE31*AE30*AE27</f>
        <v>760</v>
      </c>
      <c r="AF32" s="49"/>
      <c r="AG32" s="49"/>
      <c r="AH32" s="49">
        <f>AH31*AH30*AH27</f>
        <v>380</v>
      </c>
      <c r="AI32" s="49"/>
      <c r="AJ32" s="49"/>
      <c r="AK32" s="49">
        <f t="shared" ref="AK32" si="26">AK28*11</f>
        <v>374</v>
      </c>
      <c r="AL32" s="49"/>
      <c r="AM32" s="49"/>
      <c r="AN32" s="49">
        <f t="shared" ref="AN32" si="27">AN28*11</f>
        <v>374</v>
      </c>
      <c r="AO32" s="49"/>
      <c r="AP32" s="49"/>
      <c r="AQ32" s="49">
        <f t="shared" ref="AQ32" si="28">AQ28*11</f>
        <v>110</v>
      </c>
      <c r="AR32" s="49"/>
    </row>
    <row r="34" spans="2:44" ht="8.4499999999999993" customHeight="1" x14ac:dyDescent="0.2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6" spans="2:44" ht="15.75" thickBot="1" x14ac:dyDescent="0.3">
      <c r="B36" s="6"/>
      <c r="C36" s="51" t="s">
        <v>34</v>
      </c>
      <c r="D36" s="13">
        <f>SUM(D18:ZZ18)</f>
        <v>7008</v>
      </c>
    </row>
    <row r="37" spans="2:44" ht="16.5" thickTop="1" thickBot="1" x14ac:dyDescent="0.3">
      <c r="B37" s="36"/>
      <c r="C37" s="52" t="s">
        <v>191</v>
      </c>
      <c r="D37" s="43">
        <f>SUM(D25:ZZ25)</f>
        <v>8540</v>
      </c>
      <c r="F37" s="12">
        <f>D37-D36</f>
        <v>1532</v>
      </c>
      <c r="G37" s="50">
        <f>F37/D36</f>
        <v>0.21860730593607305</v>
      </c>
    </row>
    <row r="38" spans="2:44" ht="16.5" thickTop="1" thickBot="1" x14ac:dyDescent="0.3">
      <c r="B38" s="41"/>
      <c r="C38" s="53" t="s">
        <v>192</v>
      </c>
      <c r="D38" s="42">
        <f>SUM(D32:ZZ32)</f>
        <v>9536</v>
      </c>
      <c r="F38" s="12">
        <f>D38-D37</f>
        <v>996</v>
      </c>
      <c r="G38" s="50">
        <f>F38/D36</f>
        <v>0.14212328767123289</v>
      </c>
      <c r="I38" s="12">
        <f>F38-F37</f>
        <v>-536</v>
      </c>
      <c r="J38" s="50">
        <f>I38/D37</f>
        <v>-6.2763466042154561E-2</v>
      </c>
    </row>
    <row r="39" spans="2:44" ht="15.75" thickTop="1" x14ac:dyDescent="0.25"/>
    <row r="40" spans="2:44" x14ac:dyDescent="0.25">
      <c r="B40" s="1" t="s">
        <v>35</v>
      </c>
      <c r="G40" s="12"/>
    </row>
    <row r="41" spans="2:44" x14ac:dyDescent="0.25">
      <c r="B41" s="32" t="s">
        <v>118</v>
      </c>
    </row>
    <row r="42" spans="2:44" x14ac:dyDescent="0.25">
      <c r="B42" s="33" t="s">
        <v>47</v>
      </c>
    </row>
    <row r="43" spans="2:44" x14ac:dyDescent="0.25">
      <c r="B43" s="33" t="s">
        <v>9</v>
      </c>
    </row>
    <row r="44" spans="2:44" x14ac:dyDescent="0.25">
      <c r="B44" s="33" t="s">
        <v>53</v>
      </c>
    </row>
    <row r="45" spans="2:44" x14ac:dyDescent="0.25">
      <c r="B45" s="33" t="s">
        <v>120</v>
      </c>
    </row>
  </sheetData>
  <sheetProtection selectLockedCells="1"/>
  <mergeCells count="17">
    <mergeCell ref="A28:A32"/>
    <mergeCell ref="U1:V1"/>
    <mergeCell ref="X1:Y1"/>
    <mergeCell ref="AA1:AB1"/>
    <mergeCell ref="AD1:AE1"/>
    <mergeCell ref="C1:D1"/>
    <mergeCell ref="F1:G1"/>
    <mergeCell ref="I1:J1"/>
    <mergeCell ref="L1:M1"/>
    <mergeCell ref="O1:P1"/>
    <mergeCell ref="R1:S1"/>
    <mergeCell ref="AM1:AN1"/>
    <mergeCell ref="AP1:AQ1"/>
    <mergeCell ref="A13:A18"/>
    <mergeCell ref="A20:A25"/>
    <mergeCell ref="AG1:AH1"/>
    <mergeCell ref="AJ1:AK1"/>
  </mergeCells>
  <dataValidations count="5">
    <dataValidation type="list" allowBlank="1" showInputMessage="1" showErrorMessage="1" sqref="X3 AA3 AD3 O3 L3 I3 F3 C3 U3 R3 AG3 AJ3 AM3 AP3" xr:uid="{00000000-0002-0000-0100-000000000000}">
      <formula1>Lizenz</formula1>
    </dataValidation>
    <dataValidation type="list" allowBlank="1" showInputMessage="1" showErrorMessage="1" sqref="X6 AA6 AD6 O6 L6 I6 F6 C6 U6 R6 AG6 AJ6 AM6 AP6" xr:uid="{00000000-0002-0000-0100-000001000000}">
      <formula1>Wettkampfbeteiligung</formula1>
    </dataValidation>
    <dataValidation type="list" allowBlank="1" showInputMessage="1" showErrorMessage="1" sqref="X5 AA5 AD5 O5 L5 I5 F5 C5 U5 R5 AG5 AJ5 AM5 AP5" xr:uid="{00000000-0002-0000-0100-000002000000}">
      <formula1>Gruppengröße</formula1>
    </dataValidation>
    <dataValidation type="list" allowBlank="1" showInputMessage="1" showErrorMessage="1" sqref="X4 AA4 AD4 O4 L4 I4 F4 C4 U4 R4 AG4 AJ4 AM4 AP4" xr:uid="{00000000-0002-0000-0100-000003000000}">
      <formula1>Erfahrung</formula1>
    </dataValidation>
    <dataValidation type="list" allowBlank="1" showInputMessage="1" showErrorMessage="1" sqref="X2 AA2 AD2 O2 L2 I2 F2 C2 U2 R2 AG2 AJ2 AM2 AP2" xr:uid="{00000000-0002-0000-0100-000004000000}">
      <formula1>AusbildungSTV</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14" max="37" man="1"/>
    <brk id="26" max="37" man="1"/>
    <brk id="38" max="37"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4059-CF57-4F6C-85F3-EE57AC41AC8C}">
  <dimension ref="A1:T6"/>
  <sheetViews>
    <sheetView zoomScaleNormal="100" workbookViewId="0">
      <selection activeCell="Q2" sqref="Q2"/>
    </sheetView>
  </sheetViews>
  <sheetFormatPr baseColWidth="10" defaultColWidth="11.42578125" defaultRowHeight="15" x14ac:dyDescent="0.25"/>
  <cols>
    <col min="1" max="2" width="29.42578125" customWidth="1"/>
  </cols>
  <sheetData>
    <row r="1" spans="1:20" x14ac:dyDescent="0.25">
      <c r="A1" s="56" t="s">
        <v>35</v>
      </c>
      <c r="B1" s="66" t="s">
        <v>36</v>
      </c>
      <c r="C1" s="57"/>
      <c r="D1" s="57" t="s">
        <v>37</v>
      </c>
      <c r="E1" s="57" t="s">
        <v>38</v>
      </c>
      <c r="F1" s="57" t="s">
        <v>39</v>
      </c>
      <c r="G1" s="58" t="s">
        <v>40</v>
      </c>
      <c r="Q1">
        <v>2</v>
      </c>
    </row>
    <row r="2" spans="1:20" ht="60" x14ac:dyDescent="0.25">
      <c r="A2" s="75" t="s">
        <v>41</v>
      </c>
      <c r="B2" s="73"/>
      <c r="C2" s="74"/>
      <c r="D2" s="76">
        <v>3</v>
      </c>
      <c r="E2" s="76">
        <v>3</v>
      </c>
      <c r="F2" s="76">
        <v>2</v>
      </c>
      <c r="G2" s="77">
        <v>3</v>
      </c>
      <c r="J2" s="81" t="str">
        <f>+Vorgabe_ab_2023!A3</f>
        <v>1. Ausbildung</v>
      </c>
      <c r="K2" s="81" t="str">
        <f>+Vorgabe_ab_2023!A13</f>
        <v>2. gültige Lizenz</v>
      </c>
      <c r="L2" s="81" t="str">
        <f>+Vorgabe_ab_2023!A18</f>
        <v>3. Erfahrung</v>
      </c>
      <c r="M2" s="81" t="str">
        <f>+Vorgabe_ab_2023!A25</f>
        <v>4. Gruppengröße</v>
      </c>
      <c r="N2" s="81" t="str">
        <f>+Vorgabe_ab_2023!A33</f>
        <v>5. Wettkampfbeteiligung</v>
      </c>
      <c r="O2" s="81">
        <v>6</v>
      </c>
      <c r="P2" t="s">
        <v>42</v>
      </c>
      <c r="Q2" s="79" t="s">
        <v>43</v>
      </c>
      <c r="R2" t="s">
        <v>44</v>
      </c>
      <c r="S2" t="s">
        <v>45</v>
      </c>
      <c r="T2" t="s">
        <v>46</v>
      </c>
    </row>
    <row r="3" spans="1:20" x14ac:dyDescent="0.25">
      <c r="A3" s="61" t="s">
        <v>47</v>
      </c>
      <c r="B3" s="67" t="s">
        <v>48</v>
      </c>
      <c r="C3" s="55" t="s">
        <v>49</v>
      </c>
      <c r="D3" s="55">
        <f>$S$3*D2</f>
        <v>459</v>
      </c>
      <c r="E3" s="55">
        <f>$S$3*E2</f>
        <v>459</v>
      </c>
      <c r="F3" s="55">
        <f>$S$3*F2</f>
        <v>306</v>
      </c>
      <c r="G3" s="55">
        <f>$S$3*G2</f>
        <v>459</v>
      </c>
      <c r="H3" s="65">
        <f t="shared" ref="H3" si="0">SUM(D3:G3)</f>
        <v>1683</v>
      </c>
      <c r="J3" s="55">
        <f>+Vorgabe_ab_2023!D8</f>
        <v>10</v>
      </c>
      <c r="K3" s="55">
        <f>+Vorgabe_ab_2023!D14</f>
        <v>0</v>
      </c>
      <c r="L3" s="55">
        <f>+Vorgabe_ab_2023!D22</f>
        <v>3</v>
      </c>
      <c r="M3" s="55">
        <f>+Vorgabe_ab_2023!D30</f>
        <v>3</v>
      </c>
      <c r="N3" s="55">
        <f>+Vorgabe_ab_2023!D35</f>
        <v>2</v>
      </c>
      <c r="O3" s="55"/>
      <c r="P3" s="55">
        <f>SUM(J3:O3)</f>
        <v>18</v>
      </c>
      <c r="Q3" s="80">
        <f>+Q1</f>
        <v>2</v>
      </c>
      <c r="R3" s="55">
        <f>P3*Q3</f>
        <v>36</v>
      </c>
      <c r="S3" s="55">
        <f>R3*4.25</f>
        <v>153</v>
      </c>
      <c r="T3" s="55">
        <f>S3*3</f>
        <v>459</v>
      </c>
    </row>
    <row r="4" spans="1:20" x14ac:dyDescent="0.25">
      <c r="A4" s="61" t="s">
        <v>50</v>
      </c>
      <c r="B4" s="67" t="s">
        <v>51</v>
      </c>
      <c r="C4" s="55" t="s">
        <v>52</v>
      </c>
      <c r="D4" s="55">
        <f>$S$4*D2</f>
        <v>153</v>
      </c>
      <c r="E4" s="55">
        <f>$S$4*E2</f>
        <v>153</v>
      </c>
      <c r="F4" s="55">
        <f>$S$4*F2</f>
        <v>102</v>
      </c>
      <c r="G4" s="55">
        <f>$S$4*G2</f>
        <v>153</v>
      </c>
      <c r="H4" s="65">
        <f>SUM(D4:G4)</f>
        <v>561</v>
      </c>
      <c r="J4" s="55">
        <f>+Vorgabe_ab_2023!D7</f>
        <v>6</v>
      </c>
      <c r="K4" s="55"/>
      <c r="L4" s="55"/>
      <c r="M4" s="55"/>
      <c r="N4" s="55"/>
      <c r="O4" s="55"/>
      <c r="P4" s="55">
        <f t="shared" ref="P4:P5" si="1">SUM(J4:O4)</f>
        <v>6</v>
      </c>
      <c r="Q4" s="80">
        <f>+Q3</f>
        <v>2</v>
      </c>
      <c r="R4" s="55">
        <f t="shared" ref="R4:R5" si="2">P4*Q4</f>
        <v>12</v>
      </c>
      <c r="S4" s="55">
        <f t="shared" ref="S4:S5" si="3">R4*4.25</f>
        <v>51</v>
      </c>
      <c r="T4" s="55">
        <f t="shared" ref="T4:T5" si="4">S4*3</f>
        <v>153</v>
      </c>
    </row>
    <row r="5" spans="1:20" x14ac:dyDescent="0.25">
      <c r="A5" s="61" t="s">
        <v>53</v>
      </c>
      <c r="B5" s="67" t="s">
        <v>54</v>
      </c>
      <c r="C5" s="55" t="s">
        <v>49</v>
      </c>
      <c r="D5" s="55">
        <f>$S$5*D2</f>
        <v>242.25</v>
      </c>
      <c r="E5" s="55">
        <f t="shared" ref="E5:G5" si="5">$S$5*E2</f>
        <v>242.25</v>
      </c>
      <c r="F5" s="55">
        <f t="shared" si="5"/>
        <v>161.5</v>
      </c>
      <c r="G5" s="55">
        <f t="shared" si="5"/>
        <v>242.25</v>
      </c>
      <c r="H5" s="65">
        <f>SUM(C5:G5)</f>
        <v>888.25</v>
      </c>
      <c r="J5" s="55">
        <f>+Vorgabe_ab_2023!D5</f>
        <v>4</v>
      </c>
      <c r="K5" s="55">
        <f>+Vorgabe_ab_2023!D14</f>
        <v>0</v>
      </c>
      <c r="L5" s="55">
        <f>+Vorgabe_ab_2023!D20</f>
        <v>1</v>
      </c>
      <c r="M5" s="55">
        <f>+Vorgabe_ab_2023!D29</f>
        <v>2.5</v>
      </c>
      <c r="N5" s="55">
        <f>+Vorgabe_ab_2023!D35</f>
        <v>2</v>
      </c>
      <c r="O5" s="55"/>
      <c r="P5" s="55">
        <f t="shared" si="1"/>
        <v>9.5</v>
      </c>
      <c r="Q5" s="80">
        <f>+Q3</f>
        <v>2</v>
      </c>
      <c r="R5" s="55">
        <f t="shared" si="2"/>
        <v>19</v>
      </c>
      <c r="S5" s="55">
        <f t="shared" si="3"/>
        <v>80.75</v>
      </c>
      <c r="T5" s="55">
        <f t="shared" si="4"/>
        <v>242.25</v>
      </c>
    </row>
    <row r="6" spans="1:20" x14ac:dyDescent="0.25">
      <c r="C6" s="55"/>
      <c r="G6" s="65"/>
      <c r="H6" s="65">
        <f>SUM(H3:H5)</f>
        <v>3132.25</v>
      </c>
    </row>
  </sheetData>
  <pageMargins left="0.70866141732283472" right="0.70866141732283472" top="0.78740157480314965" bottom="0.78740157480314965" header="0.31496062992125984" footer="0.31496062992125984"/>
  <pageSetup paperSize="9" orientation="landscape" r:id="rId1"/>
  <headerFooter>
    <oddFooter>&amp;R&amp;G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8538D828-A5DF-4108-AD7F-C5FD68C3FC12}">
          <x14:formula1>
            <xm:f>Vorgabe_ab_2023!$A$40:$A$41</xm:f>
          </x14:formula1>
          <xm:sqref>C3:C6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6"/>
  <sheetViews>
    <sheetView zoomScaleNormal="100" workbookViewId="0">
      <selection activeCell="AD5" sqref="AD5"/>
    </sheetView>
  </sheetViews>
  <sheetFormatPr baseColWidth="10" defaultColWidth="11.42578125" defaultRowHeight="15" x14ac:dyDescent="0.25"/>
  <cols>
    <col min="1" max="1" width="24.140625" bestFit="1" customWidth="1"/>
    <col min="2" max="2" width="11.5703125" style="25"/>
    <col min="3" max="3" width="3.85546875" customWidth="1"/>
    <col min="4" max="4" width="26.7109375" customWidth="1"/>
    <col min="5" max="5" width="11.5703125" style="25"/>
  </cols>
  <sheetData>
    <row r="3" spans="1:5" ht="40.15" customHeight="1" x14ac:dyDescent="0.25">
      <c r="A3" s="200" t="s">
        <v>75</v>
      </c>
      <c r="B3" s="201"/>
      <c r="D3" s="200" t="s">
        <v>76</v>
      </c>
      <c r="E3" s="201"/>
    </row>
    <row r="5" spans="1:5" s="1" customFormat="1" ht="36" x14ac:dyDescent="0.25">
      <c r="A5" s="28" t="s">
        <v>78</v>
      </c>
      <c r="B5" s="29" t="s">
        <v>176</v>
      </c>
      <c r="D5" s="28" t="s">
        <v>81</v>
      </c>
      <c r="E5" s="30" t="s">
        <v>82</v>
      </c>
    </row>
    <row r="6" spans="1:5" x14ac:dyDescent="0.25">
      <c r="A6" t="s">
        <v>14</v>
      </c>
      <c r="B6" s="26">
        <v>3</v>
      </c>
      <c r="D6" s="1" t="s">
        <v>83</v>
      </c>
      <c r="E6" s="31">
        <v>10</v>
      </c>
    </row>
    <row r="7" spans="1:5" x14ac:dyDescent="0.25">
      <c r="A7" t="s">
        <v>177</v>
      </c>
      <c r="B7" s="26">
        <v>3</v>
      </c>
      <c r="D7" s="1" t="s">
        <v>84</v>
      </c>
      <c r="E7" s="31">
        <v>30</v>
      </c>
    </row>
    <row r="8" spans="1:5" x14ac:dyDescent="0.25">
      <c r="A8" t="s">
        <v>13</v>
      </c>
      <c r="B8" s="26">
        <f>B7+1</f>
        <v>4</v>
      </c>
      <c r="D8" s="1"/>
      <c r="E8" s="1"/>
    </row>
    <row r="9" spans="1:5" x14ac:dyDescent="0.25">
      <c r="A9" t="s">
        <v>85</v>
      </c>
      <c r="B9" s="26">
        <f>B8+0.5</f>
        <v>4.5</v>
      </c>
      <c r="D9" s="1"/>
      <c r="E9" s="1"/>
    </row>
    <row r="10" spans="1:5" x14ac:dyDescent="0.25">
      <c r="A10" t="s">
        <v>87</v>
      </c>
      <c r="B10" s="26">
        <f>B9+0.5</f>
        <v>5</v>
      </c>
      <c r="D10" s="1"/>
      <c r="E10" s="1"/>
    </row>
    <row r="11" spans="1:5" x14ac:dyDescent="0.25">
      <c r="B11" s="26"/>
      <c r="D11" s="1"/>
      <c r="E11" s="1"/>
    </row>
    <row r="12" spans="1:5" x14ac:dyDescent="0.25">
      <c r="B12" s="26"/>
      <c r="D12" s="1"/>
      <c r="E12" s="1"/>
    </row>
    <row r="13" spans="1:5" x14ac:dyDescent="0.25">
      <c r="A13" s="28" t="s">
        <v>88</v>
      </c>
      <c r="B13" s="29"/>
      <c r="D13" s="1"/>
      <c r="E13" s="1"/>
    </row>
    <row r="14" spans="1:5" x14ac:dyDescent="0.25">
      <c r="A14" t="s">
        <v>15</v>
      </c>
      <c r="B14" s="26">
        <v>0</v>
      </c>
      <c r="D14" s="1"/>
      <c r="E14" s="1"/>
    </row>
    <row r="15" spans="1:5" x14ac:dyDescent="0.25">
      <c r="A15" t="s">
        <v>16</v>
      </c>
      <c r="B15" s="26">
        <v>1</v>
      </c>
      <c r="D15" s="1"/>
      <c r="E15" s="1"/>
    </row>
    <row r="16" spans="1:5" x14ac:dyDescent="0.25">
      <c r="B16" s="26"/>
      <c r="D16" s="1"/>
      <c r="E16" s="1"/>
    </row>
    <row r="17" spans="1:5" x14ac:dyDescent="0.25">
      <c r="D17" s="1"/>
      <c r="E17" s="1"/>
    </row>
    <row r="18" spans="1:5" x14ac:dyDescent="0.25">
      <c r="A18" s="28" t="s">
        <v>90</v>
      </c>
      <c r="B18" s="29"/>
      <c r="D18" s="1"/>
      <c r="E18" s="1"/>
    </row>
    <row r="19" spans="1:5" x14ac:dyDescent="0.25">
      <c r="A19" t="s">
        <v>20</v>
      </c>
      <c r="B19" s="27">
        <v>0.5</v>
      </c>
      <c r="D19" s="1"/>
      <c r="E19" s="1"/>
    </row>
    <row r="20" spans="1:5" x14ac:dyDescent="0.25">
      <c r="A20" t="s">
        <v>19</v>
      </c>
      <c r="B20" s="26">
        <f>B19+0.5</f>
        <v>1</v>
      </c>
      <c r="D20" s="1"/>
      <c r="E20" s="1"/>
    </row>
    <row r="21" spans="1:5" x14ac:dyDescent="0.25">
      <c r="A21" t="s">
        <v>18</v>
      </c>
      <c r="B21" s="26">
        <f>B20+0.5</f>
        <v>1.5</v>
      </c>
      <c r="D21" s="1"/>
      <c r="E21" s="1"/>
    </row>
    <row r="22" spans="1:5" x14ac:dyDescent="0.25">
      <c r="A22" t="s">
        <v>17</v>
      </c>
      <c r="B22" s="26">
        <f>B21+0.5</f>
        <v>2</v>
      </c>
      <c r="D22" s="1"/>
      <c r="E22" s="1"/>
    </row>
    <row r="23" spans="1:5" x14ac:dyDescent="0.25">
      <c r="D23" s="1"/>
      <c r="E23" s="1"/>
    </row>
    <row r="24" spans="1:5" x14ac:dyDescent="0.25">
      <c r="D24" s="1"/>
      <c r="E24" s="1"/>
    </row>
    <row r="25" spans="1:5" x14ac:dyDescent="0.25">
      <c r="A25" s="28" t="s">
        <v>92</v>
      </c>
      <c r="B25" s="29"/>
      <c r="D25" s="1"/>
      <c r="E25" s="1"/>
    </row>
    <row r="26" spans="1:5" x14ac:dyDescent="0.25">
      <c r="A26" t="s">
        <v>71</v>
      </c>
      <c r="B26" s="26">
        <v>0.5</v>
      </c>
      <c r="D26" s="1"/>
      <c r="E26" s="1"/>
    </row>
    <row r="27" spans="1:5" x14ac:dyDescent="0.25">
      <c r="A27" t="s">
        <v>23</v>
      </c>
      <c r="B27" s="26">
        <f>B26+0.5</f>
        <v>1</v>
      </c>
      <c r="D27" s="1"/>
      <c r="E27" s="1"/>
    </row>
    <row r="28" spans="1:5" x14ac:dyDescent="0.25">
      <c r="A28" t="s">
        <v>93</v>
      </c>
      <c r="B28" s="26">
        <f>B27+0.5</f>
        <v>1.5</v>
      </c>
      <c r="D28" s="1"/>
      <c r="E28" s="1"/>
    </row>
    <row r="29" spans="1:5" x14ac:dyDescent="0.25">
      <c r="A29" t="s">
        <v>22</v>
      </c>
      <c r="B29" s="26">
        <f>B28+0.5</f>
        <v>2</v>
      </c>
      <c r="D29" s="1"/>
      <c r="E29" s="1"/>
    </row>
    <row r="30" spans="1:5" x14ac:dyDescent="0.25">
      <c r="A30" t="s">
        <v>21</v>
      </c>
      <c r="B30" s="26">
        <f>B29+0.5</f>
        <v>2.5</v>
      </c>
      <c r="D30" s="1"/>
      <c r="E30" s="1"/>
    </row>
    <row r="31" spans="1:5" x14ac:dyDescent="0.25">
      <c r="D31" s="1"/>
      <c r="E31" s="1"/>
    </row>
    <row r="32" spans="1:5" x14ac:dyDescent="0.25">
      <c r="D32" s="1"/>
      <c r="E32" s="1"/>
    </row>
    <row r="33" spans="1:5" x14ac:dyDescent="0.25">
      <c r="A33" s="28" t="s">
        <v>94</v>
      </c>
      <c r="B33" s="29"/>
      <c r="D33" s="1"/>
      <c r="E33" s="1"/>
    </row>
    <row r="34" spans="1:5" x14ac:dyDescent="0.25">
      <c r="A34" t="s">
        <v>15</v>
      </c>
      <c r="B34" s="26">
        <v>0</v>
      </c>
      <c r="D34" s="1"/>
      <c r="E34" s="1"/>
    </row>
    <row r="35" spans="1:5" x14ac:dyDescent="0.25">
      <c r="A35" t="s">
        <v>95</v>
      </c>
      <c r="B35" s="26">
        <v>1</v>
      </c>
      <c r="D35" s="1"/>
      <c r="E35" s="1"/>
    </row>
    <row r="36" spans="1:5" x14ac:dyDescent="0.25">
      <c r="D36" s="1"/>
      <c r="E36" s="1"/>
    </row>
  </sheetData>
  <sheetProtection selectLockedCells="1"/>
  <mergeCells count="2">
    <mergeCell ref="A3:B3"/>
    <mergeCell ref="D3:E3"/>
  </mergeCells>
  <conditionalFormatting sqref="A6:B10 A14:B15 A19:B22 A26:B30 A34:B35">
    <cfRule type="expression" dxfId="4" priority="7">
      <formula>MOD(ROW(),2)=0</formula>
    </cfRule>
  </conditionalFormatting>
  <conditionalFormatting sqref="D6:E7">
    <cfRule type="expression" dxfId="3"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Header>&amp;CHonorarsätze Übungsleiter &amp; Trainer&amp;R&amp;G</oddHeader>
    <oddFooter>&amp;L&amp;A
Stand: Dez. 2014&amp;Chttp://www.stv-artlenburg.de/&amp;RAndreas Philipp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L55"/>
  <sheetViews>
    <sheetView topLeftCell="A8" zoomScaleNormal="100" workbookViewId="0">
      <selection activeCell="A5" sqref="A5:A39"/>
    </sheetView>
  </sheetViews>
  <sheetFormatPr baseColWidth="10" defaultColWidth="11.5703125" defaultRowHeight="12.75" x14ac:dyDescent="0.2"/>
  <cols>
    <col min="1" max="1" width="15.42578125" style="14" bestFit="1" customWidth="1"/>
    <col min="2" max="2" width="16.42578125" style="14" bestFit="1" customWidth="1"/>
    <col min="3" max="10" width="11.5703125" style="14"/>
    <col min="11" max="11" width="14.85546875" style="16" customWidth="1"/>
    <col min="12" max="12" width="15.85546875" style="19" customWidth="1"/>
    <col min="13" max="16384" width="11.5703125" style="14"/>
  </cols>
  <sheetData>
    <row r="3" spans="1:12" x14ac:dyDescent="0.2">
      <c r="H3" s="15">
        <f>SUM(H5:H39)</f>
        <v>176</v>
      </c>
      <c r="I3" s="15">
        <f>SUM(I5:I39)</f>
        <v>902</v>
      </c>
      <c r="J3" s="15">
        <f>SUM(J5:J30)</f>
        <v>11129.11</v>
      </c>
      <c r="K3" s="16">
        <f>SUM(K5:K50)</f>
        <v>224.72774999999996</v>
      </c>
      <c r="L3" s="16">
        <f>SUM(L5:L51)</f>
        <v>34.796747967479661</v>
      </c>
    </row>
    <row r="4" spans="1:12" s="22" customFormat="1" ht="25.5" x14ac:dyDescent="0.2">
      <c r="A4" s="22" t="s">
        <v>137</v>
      </c>
      <c r="B4" s="22" t="s">
        <v>197</v>
      </c>
      <c r="C4" s="22" t="s">
        <v>198</v>
      </c>
      <c r="D4" s="22" t="s">
        <v>199</v>
      </c>
      <c r="E4" s="22" t="s">
        <v>200</v>
      </c>
      <c r="F4" s="22" t="s">
        <v>201</v>
      </c>
      <c r="G4" s="22" t="s">
        <v>202</v>
      </c>
      <c r="H4" s="22" t="s">
        <v>203</v>
      </c>
      <c r="I4" s="22" t="s">
        <v>204</v>
      </c>
      <c r="J4" s="22" t="s">
        <v>205</v>
      </c>
      <c r="K4" s="23" t="s">
        <v>206</v>
      </c>
      <c r="L4" s="24" t="s">
        <v>207</v>
      </c>
    </row>
    <row r="5" spans="1:12" x14ac:dyDescent="0.2">
      <c r="A5" s="14" t="s">
        <v>0</v>
      </c>
      <c r="B5" s="14" t="s">
        <v>208</v>
      </c>
      <c r="C5" s="14" t="s">
        <v>209</v>
      </c>
      <c r="D5" s="17">
        <v>0.63541666666666663</v>
      </c>
      <c r="E5" s="17">
        <v>0.67708333333333337</v>
      </c>
      <c r="F5" s="17">
        <f t="shared" ref="F5:F27" si="0">+E5-D5</f>
        <v>4.1666666666666741E-2</v>
      </c>
      <c r="G5" s="15">
        <v>8</v>
      </c>
      <c r="H5" s="15">
        <f t="shared" ref="H5:H27" si="1">+F5*G5*24</f>
        <v>8.0000000000000142</v>
      </c>
      <c r="I5" s="15">
        <f>+H5*4.25</f>
        <v>34.000000000000057</v>
      </c>
      <c r="J5" s="15">
        <f t="shared" ref="J5:J16" si="2">+H5*40</f>
        <v>320.00000000000057</v>
      </c>
      <c r="K5" s="16">
        <f>+J5/40</f>
        <v>8.0000000000000142</v>
      </c>
      <c r="L5" s="16"/>
    </row>
    <row r="6" spans="1:12" x14ac:dyDescent="0.2">
      <c r="A6" s="14" t="s">
        <v>0</v>
      </c>
      <c r="B6" s="14" t="s">
        <v>210</v>
      </c>
      <c r="C6" s="14" t="s">
        <v>209</v>
      </c>
      <c r="D6" s="17">
        <v>0.67708333333333337</v>
      </c>
      <c r="E6" s="17">
        <v>0.71875</v>
      </c>
      <c r="F6" s="17">
        <f t="shared" si="0"/>
        <v>4.166666666666663E-2</v>
      </c>
      <c r="G6" s="15">
        <v>8</v>
      </c>
      <c r="H6" s="15">
        <f t="shared" si="1"/>
        <v>7.9999999999999929</v>
      </c>
      <c r="I6" s="15">
        <f>+H6*4.25</f>
        <v>33.999999999999972</v>
      </c>
      <c r="J6" s="15">
        <f t="shared" si="2"/>
        <v>319.99999999999972</v>
      </c>
      <c r="K6" s="16">
        <f>+J6/40</f>
        <v>7.9999999999999929</v>
      </c>
      <c r="L6" s="16"/>
    </row>
    <row r="7" spans="1:12" x14ac:dyDescent="0.2">
      <c r="A7" s="14" t="s">
        <v>211</v>
      </c>
      <c r="B7" s="14" t="s">
        <v>212</v>
      </c>
      <c r="C7" s="14" t="s">
        <v>209</v>
      </c>
      <c r="D7" s="17">
        <v>0.70833333333333337</v>
      </c>
      <c r="E7" s="17">
        <v>0.77083333333333337</v>
      </c>
      <c r="F7" s="17">
        <f>+E7-D7</f>
        <v>6.25E-2</v>
      </c>
      <c r="G7" s="15">
        <v>8</v>
      </c>
      <c r="H7" s="15">
        <f>+F7*G7*24/3*4</f>
        <v>16</v>
      </c>
      <c r="I7" s="15">
        <f>+H7*4.25</f>
        <v>68</v>
      </c>
      <c r="J7" s="15">
        <f>+H7*40</f>
        <v>640</v>
      </c>
      <c r="K7" s="16">
        <f>+J7/40</f>
        <v>16</v>
      </c>
      <c r="L7" s="16"/>
    </row>
    <row r="8" spans="1:12" x14ac:dyDescent="0.2">
      <c r="A8" s="14" t="s">
        <v>6</v>
      </c>
      <c r="B8" s="14" t="s">
        <v>213</v>
      </c>
      <c r="C8" s="14" t="s">
        <v>209</v>
      </c>
      <c r="D8" s="17">
        <v>0.8125</v>
      </c>
      <c r="E8" s="17">
        <v>0.85416666666666663</v>
      </c>
      <c r="F8" s="17">
        <f t="shared" si="0"/>
        <v>4.166666666666663E-2</v>
      </c>
      <c r="G8" s="15">
        <v>8</v>
      </c>
      <c r="H8" s="15">
        <f t="shared" si="1"/>
        <v>7.9999999999999929</v>
      </c>
      <c r="I8" s="15">
        <f t="shared" ref="I8:I27" si="3">+H8*4.25</f>
        <v>33.999999999999972</v>
      </c>
      <c r="J8" s="15">
        <f t="shared" si="2"/>
        <v>319.99999999999972</v>
      </c>
      <c r="L8" s="16">
        <f>+J8/61.5</f>
        <v>5.2032520325203206</v>
      </c>
    </row>
    <row r="9" spans="1:12" x14ac:dyDescent="0.2">
      <c r="A9" s="14" t="s">
        <v>1</v>
      </c>
      <c r="B9" s="14" t="s">
        <v>214</v>
      </c>
      <c r="C9" s="14" t="s">
        <v>209</v>
      </c>
      <c r="D9" s="17">
        <v>0.85416666666666663</v>
      </c>
      <c r="E9" s="17">
        <v>0.91666666666666663</v>
      </c>
      <c r="F9" s="17">
        <f t="shared" si="0"/>
        <v>6.25E-2</v>
      </c>
      <c r="G9" s="15">
        <v>8</v>
      </c>
      <c r="H9" s="15">
        <f t="shared" si="1"/>
        <v>12</v>
      </c>
      <c r="I9" s="15">
        <f t="shared" si="3"/>
        <v>51</v>
      </c>
      <c r="J9" s="15">
        <f t="shared" si="2"/>
        <v>480</v>
      </c>
      <c r="L9" s="16">
        <f>+J9/61.5</f>
        <v>7.8048780487804876</v>
      </c>
    </row>
    <row r="10" spans="1:12" x14ac:dyDescent="0.2">
      <c r="A10" s="14" t="s">
        <v>215</v>
      </c>
      <c r="B10" s="14" t="s">
        <v>216</v>
      </c>
      <c r="C10" s="14" t="s">
        <v>217</v>
      </c>
      <c r="D10" s="17">
        <v>0.60416666666666663</v>
      </c>
      <c r="E10" s="17">
        <v>0.64583333333333337</v>
      </c>
      <c r="F10" s="17">
        <f t="shared" si="0"/>
        <v>4.1666666666666741E-2</v>
      </c>
      <c r="G10" s="15">
        <v>8</v>
      </c>
      <c r="H10" s="15">
        <f t="shared" si="1"/>
        <v>8.0000000000000142</v>
      </c>
      <c r="I10" s="15">
        <f t="shared" si="3"/>
        <v>34.000000000000057</v>
      </c>
      <c r="J10" s="15">
        <f t="shared" si="2"/>
        <v>320.00000000000057</v>
      </c>
      <c r="K10" s="16">
        <f>+J10/40</f>
        <v>8.0000000000000142</v>
      </c>
      <c r="L10" s="16"/>
    </row>
    <row r="11" spans="1:12" x14ac:dyDescent="0.2">
      <c r="A11" s="14" t="s">
        <v>215</v>
      </c>
      <c r="B11" s="14" t="s">
        <v>216</v>
      </c>
      <c r="C11" s="14" t="s">
        <v>217</v>
      </c>
      <c r="D11" s="17">
        <v>0.64583333333333337</v>
      </c>
      <c r="E11" s="17">
        <v>0.6875</v>
      </c>
      <c r="F11" s="17">
        <f t="shared" si="0"/>
        <v>4.166666666666663E-2</v>
      </c>
      <c r="G11" s="15">
        <v>8</v>
      </c>
      <c r="H11" s="15">
        <f t="shared" si="1"/>
        <v>7.9999999999999929</v>
      </c>
      <c r="I11" s="15">
        <f t="shared" si="3"/>
        <v>33.999999999999972</v>
      </c>
      <c r="J11" s="15">
        <f t="shared" si="2"/>
        <v>319.99999999999972</v>
      </c>
      <c r="K11" s="16">
        <f>+J11/40</f>
        <v>7.9999999999999929</v>
      </c>
      <c r="L11" s="16"/>
    </row>
    <row r="12" spans="1:12" x14ac:dyDescent="0.2">
      <c r="A12" s="14" t="s">
        <v>215</v>
      </c>
      <c r="B12" s="14" t="s">
        <v>216</v>
      </c>
      <c r="C12" s="14" t="s">
        <v>217</v>
      </c>
      <c r="D12" s="17">
        <v>0.6875</v>
      </c>
      <c r="E12" s="17">
        <v>0.72916666666666663</v>
      </c>
      <c r="F12" s="17">
        <f t="shared" si="0"/>
        <v>4.166666666666663E-2</v>
      </c>
      <c r="G12" s="15">
        <v>8</v>
      </c>
      <c r="H12" s="15">
        <f t="shared" si="1"/>
        <v>7.9999999999999929</v>
      </c>
      <c r="I12" s="15">
        <f t="shared" si="3"/>
        <v>33.999999999999972</v>
      </c>
      <c r="J12" s="15">
        <f t="shared" si="2"/>
        <v>319.99999999999972</v>
      </c>
      <c r="K12" s="16">
        <f>+J12/40</f>
        <v>7.9999999999999929</v>
      </c>
      <c r="L12" s="16"/>
    </row>
    <row r="13" spans="1:12" x14ac:dyDescent="0.2">
      <c r="A13" s="14" t="s">
        <v>5</v>
      </c>
      <c r="B13" s="14" t="s">
        <v>218</v>
      </c>
      <c r="C13" s="14" t="s">
        <v>217</v>
      </c>
      <c r="D13" s="17">
        <v>0.83333333333333337</v>
      </c>
      <c r="E13" s="17">
        <v>0.875</v>
      </c>
      <c r="F13" s="17">
        <f t="shared" si="0"/>
        <v>4.166666666666663E-2</v>
      </c>
      <c r="G13" s="15">
        <v>8</v>
      </c>
      <c r="H13" s="15">
        <f t="shared" si="1"/>
        <v>7.9999999999999929</v>
      </c>
      <c r="I13" s="15">
        <f t="shared" si="3"/>
        <v>33.999999999999972</v>
      </c>
      <c r="J13" s="15">
        <f t="shared" si="2"/>
        <v>319.99999999999972</v>
      </c>
      <c r="L13" s="16">
        <f>+J13/61.5</f>
        <v>5.2032520325203206</v>
      </c>
    </row>
    <row r="14" spans="1:12" x14ac:dyDescent="0.2">
      <c r="A14" s="14" t="s">
        <v>5</v>
      </c>
      <c r="B14" s="14" t="s">
        <v>219</v>
      </c>
      <c r="C14" s="14" t="s">
        <v>220</v>
      </c>
      <c r="D14" s="17">
        <v>0.70833333333333337</v>
      </c>
      <c r="E14" s="17">
        <v>0.77083333333333337</v>
      </c>
      <c r="F14" s="17">
        <f>+E14-D14</f>
        <v>6.25E-2</v>
      </c>
      <c r="G14" s="15">
        <v>8</v>
      </c>
      <c r="H14" s="15">
        <f>+F14*G14*24</f>
        <v>12</v>
      </c>
      <c r="I14" s="15">
        <f t="shared" si="3"/>
        <v>51</v>
      </c>
      <c r="J14" s="15">
        <f>+H14*40</f>
        <v>480</v>
      </c>
      <c r="L14" s="16">
        <f>+J14/61.5</f>
        <v>7.8048780487804876</v>
      </c>
    </row>
    <row r="15" spans="1:12" x14ac:dyDescent="0.2">
      <c r="A15" s="14" t="s">
        <v>221</v>
      </c>
      <c r="B15" s="14" t="s">
        <v>222</v>
      </c>
      <c r="C15" s="14" t="s">
        <v>220</v>
      </c>
      <c r="D15" s="17">
        <v>0.83333333333333337</v>
      </c>
      <c r="E15" s="17">
        <v>0.91666666666666663</v>
      </c>
      <c r="F15" s="17">
        <f t="shared" si="0"/>
        <v>8.3333333333333259E-2</v>
      </c>
      <c r="G15" s="15">
        <v>0</v>
      </c>
      <c r="H15" s="15">
        <f t="shared" si="1"/>
        <v>0</v>
      </c>
      <c r="I15" s="15">
        <f t="shared" si="3"/>
        <v>0</v>
      </c>
      <c r="J15" s="15">
        <f t="shared" si="2"/>
        <v>0</v>
      </c>
      <c r="L15" s="16">
        <f>+J15/61.5</f>
        <v>0</v>
      </c>
    </row>
    <row r="16" spans="1:12" x14ac:dyDescent="0.2">
      <c r="A16" s="14" t="s">
        <v>2</v>
      </c>
      <c r="B16" s="14" t="s">
        <v>223</v>
      </c>
      <c r="C16" s="14" t="s">
        <v>224</v>
      </c>
      <c r="D16" s="17">
        <v>0.41666666666666669</v>
      </c>
      <c r="E16" s="17">
        <v>0.45833333333333331</v>
      </c>
      <c r="F16" s="17">
        <f t="shared" si="0"/>
        <v>4.166666666666663E-2</v>
      </c>
      <c r="G16" s="15">
        <v>8</v>
      </c>
      <c r="H16" s="15">
        <f t="shared" si="1"/>
        <v>7.9999999999999929</v>
      </c>
      <c r="I16" s="15">
        <f t="shared" si="3"/>
        <v>33.999999999999972</v>
      </c>
      <c r="J16" s="15">
        <f t="shared" si="2"/>
        <v>319.99999999999972</v>
      </c>
      <c r="K16" s="16">
        <f t="shared" ref="K16:K21" si="4">+J16/40</f>
        <v>7.9999999999999929</v>
      </c>
      <c r="L16" s="16"/>
    </row>
    <row r="17" spans="1:12" x14ac:dyDescent="0.2">
      <c r="A17" s="14" t="s">
        <v>225</v>
      </c>
      <c r="B17" s="14" t="s">
        <v>226</v>
      </c>
      <c r="C17" s="14" t="s">
        <v>224</v>
      </c>
      <c r="D17" s="17">
        <v>0.60416666666666663</v>
      </c>
      <c r="E17" s="17">
        <v>0.64583333333333337</v>
      </c>
      <c r="F17" s="17">
        <f>+E17-D17</f>
        <v>4.1666666666666741E-2</v>
      </c>
      <c r="G17" s="15">
        <v>8</v>
      </c>
      <c r="H17" s="15">
        <f>+F17*G17*24</f>
        <v>8.0000000000000142</v>
      </c>
      <c r="I17" s="15">
        <f t="shared" si="3"/>
        <v>34.000000000000057</v>
      </c>
      <c r="J17" s="15">
        <f>+H17*40</f>
        <v>320.00000000000057</v>
      </c>
      <c r="K17" s="16">
        <f t="shared" si="4"/>
        <v>8.0000000000000142</v>
      </c>
      <c r="L17" s="16"/>
    </row>
    <row r="18" spans="1:12" x14ac:dyDescent="0.2">
      <c r="A18" s="14" t="s">
        <v>225</v>
      </c>
      <c r="B18" s="14" t="s">
        <v>227</v>
      </c>
      <c r="C18" s="14" t="s">
        <v>224</v>
      </c>
      <c r="D18" s="17">
        <v>0.64583333333333337</v>
      </c>
      <c r="E18" s="17">
        <v>0.72916666666666663</v>
      </c>
      <c r="F18" s="17">
        <f>+E18-D18</f>
        <v>8.3333333333333259E-2</v>
      </c>
      <c r="G18" s="15">
        <v>5</v>
      </c>
      <c r="H18" s="15">
        <f>+F18*G18*24</f>
        <v>9.9999999999999911</v>
      </c>
      <c r="I18" s="15">
        <f t="shared" si="3"/>
        <v>42.499999999999964</v>
      </c>
      <c r="J18" s="15">
        <f>+H18*40</f>
        <v>399.99999999999966</v>
      </c>
      <c r="K18" s="16">
        <f t="shared" si="4"/>
        <v>9.9999999999999911</v>
      </c>
      <c r="L18" s="16"/>
    </row>
    <row r="19" spans="1:12" x14ac:dyDescent="0.2">
      <c r="A19" s="14" t="s">
        <v>228</v>
      </c>
      <c r="B19" s="14" t="s">
        <v>227</v>
      </c>
      <c r="C19" s="14" t="s">
        <v>224</v>
      </c>
      <c r="D19" s="17">
        <v>0.64583333333333337</v>
      </c>
      <c r="E19" s="17">
        <v>0.72916666666666663</v>
      </c>
      <c r="F19" s="17">
        <f>+E19-D19</f>
        <v>8.3333333333333259E-2</v>
      </c>
      <c r="G19" s="15">
        <v>5</v>
      </c>
      <c r="H19" s="15">
        <f>+F19*G19*24</f>
        <v>9.9999999999999911</v>
      </c>
      <c r="I19" s="15">
        <f t="shared" si="3"/>
        <v>42.499999999999964</v>
      </c>
      <c r="J19" s="15">
        <f>+H19*40</f>
        <v>399.99999999999966</v>
      </c>
      <c r="K19" s="16">
        <f t="shared" si="4"/>
        <v>9.9999999999999911</v>
      </c>
      <c r="L19" s="16"/>
    </row>
    <row r="20" spans="1:12" x14ac:dyDescent="0.2">
      <c r="A20" s="14" t="s">
        <v>0</v>
      </c>
      <c r="B20" s="14" t="s">
        <v>210</v>
      </c>
      <c r="C20" s="14" t="s">
        <v>224</v>
      </c>
      <c r="D20" s="17">
        <v>0.72916666666666663</v>
      </c>
      <c r="E20" s="17">
        <v>0.76041666666666663</v>
      </c>
      <c r="F20" s="17">
        <f>+E20-D20</f>
        <v>3.125E-2</v>
      </c>
      <c r="G20" s="15">
        <v>8</v>
      </c>
      <c r="H20" s="15">
        <f>+F20*G20*24</f>
        <v>6</v>
      </c>
      <c r="I20" s="15">
        <f>+H20*4.25</f>
        <v>25.5</v>
      </c>
      <c r="J20" s="15">
        <f>+H20*40</f>
        <v>240</v>
      </c>
      <c r="K20" s="16">
        <f t="shared" si="4"/>
        <v>6</v>
      </c>
      <c r="L20" s="16"/>
    </row>
    <row r="21" spans="1:12" x14ac:dyDescent="0.2">
      <c r="A21" s="14" t="s">
        <v>0</v>
      </c>
      <c r="B21" s="14" t="s">
        <v>210</v>
      </c>
      <c r="C21" s="14" t="s">
        <v>224</v>
      </c>
      <c r="D21" s="17">
        <v>0.76041666666666663</v>
      </c>
      <c r="E21" s="17">
        <v>0.79166666666666663</v>
      </c>
      <c r="F21" s="17">
        <f>+E21-D21</f>
        <v>3.125E-2</v>
      </c>
      <c r="G21" s="15">
        <v>8</v>
      </c>
      <c r="H21" s="15">
        <f>+F21*G21*24</f>
        <v>6</v>
      </c>
      <c r="I21" s="15">
        <f>+H21*4.25</f>
        <v>25.5</v>
      </c>
      <c r="J21" s="15">
        <f>+H21*40</f>
        <v>240</v>
      </c>
      <c r="K21" s="16">
        <f t="shared" si="4"/>
        <v>6</v>
      </c>
      <c r="L21" s="16"/>
    </row>
    <row r="22" spans="1:12" x14ac:dyDescent="0.2">
      <c r="A22" s="14" t="s">
        <v>229</v>
      </c>
      <c r="B22" s="14" t="s">
        <v>230</v>
      </c>
      <c r="C22" s="14" t="s">
        <v>224</v>
      </c>
      <c r="D22" s="17">
        <v>0.83333333333333337</v>
      </c>
      <c r="E22" s="17">
        <v>0.91666666666666663</v>
      </c>
      <c r="F22" s="17">
        <f t="shared" si="0"/>
        <v>8.3333333333333259E-2</v>
      </c>
      <c r="G22" s="15">
        <v>0</v>
      </c>
      <c r="H22" s="15">
        <f t="shared" si="1"/>
        <v>0</v>
      </c>
      <c r="I22" s="15">
        <v>22</v>
      </c>
      <c r="J22" s="15">
        <f>+I22*10</f>
        <v>220</v>
      </c>
      <c r="L22" s="16">
        <f>+J22/61.5</f>
        <v>3.5772357723577235</v>
      </c>
    </row>
    <row r="23" spans="1:12" x14ac:dyDescent="0.2">
      <c r="A23" s="14" t="s">
        <v>225</v>
      </c>
      <c r="B23" s="14" t="s">
        <v>231</v>
      </c>
      <c r="C23" s="14" t="s">
        <v>232</v>
      </c>
      <c r="D23" s="17">
        <v>0.625</v>
      </c>
      <c r="E23" s="17">
        <v>0.66666666666666663</v>
      </c>
      <c r="F23" s="17">
        <f t="shared" si="0"/>
        <v>4.166666666666663E-2</v>
      </c>
      <c r="G23" s="15">
        <v>8</v>
      </c>
      <c r="H23" s="15">
        <f t="shared" si="1"/>
        <v>7.9999999999999929</v>
      </c>
      <c r="I23" s="15">
        <f t="shared" si="3"/>
        <v>33.999999999999972</v>
      </c>
      <c r="J23" s="15">
        <f>+H23*40</f>
        <v>319.99999999999972</v>
      </c>
      <c r="K23" s="16">
        <f>+J23/40</f>
        <v>7.9999999999999929</v>
      </c>
      <c r="L23" s="16"/>
    </row>
    <row r="24" spans="1:12" x14ac:dyDescent="0.2">
      <c r="A24" s="14" t="s">
        <v>225</v>
      </c>
      <c r="B24" s="14" t="s">
        <v>231</v>
      </c>
      <c r="C24" s="14" t="s">
        <v>232</v>
      </c>
      <c r="D24" s="17">
        <v>0.66666666666666663</v>
      </c>
      <c r="E24" s="17">
        <v>0.70833333333333337</v>
      </c>
      <c r="F24" s="17">
        <f t="shared" si="0"/>
        <v>4.1666666666666741E-2</v>
      </c>
      <c r="G24" s="15">
        <v>8</v>
      </c>
      <c r="H24" s="15">
        <f t="shared" si="1"/>
        <v>8.0000000000000142</v>
      </c>
      <c r="I24" s="15">
        <f t="shared" si="3"/>
        <v>34.000000000000057</v>
      </c>
      <c r="J24" s="15">
        <f>+H24*40</f>
        <v>320.00000000000057</v>
      </c>
      <c r="K24" s="16">
        <f>+J24/40</f>
        <v>8.0000000000000142</v>
      </c>
      <c r="L24" s="16"/>
    </row>
    <row r="25" spans="1:12" x14ac:dyDescent="0.2">
      <c r="A25" s="14" t="s">
        <v>225</v>
      </c>
      <c r="B25" s="14" t="s">
        <v>233</v>
      </c>
      <c r="C25" s="14" t="s">
        <v>232</v>
      </c>
      <c r="D25" s="17">
        <v>0.70833333333333337</v>
      </c>
      <c r="E25" s="17">
        <v>0.75</v>
      </c>
      <c r="F25" s="17">
        <f>+E25-D25</f>
        <v>4.166666666666663E-2</v>
      </c>
      <c r="G25" s="15">
        <v>8</v>
      </c>
      <c r="H25" s="15">
        <f>+F25*G25*24</f>
        <v>7.9999999999999929</v>
      </c>
      <c r="I25" s="15">
        <f t="shared" si="3"/>
        <v>33.999999999999972</v>
      </c>
      <c r="J25" s="15">
        <f>+H25*40</f>
        <v>319.99999999999972</v>
      </c>
      <c r="K25" s="16">
        <f>+J25/40</f>
        <v>7.9999999999999929</v>
      </c>
      <c r="L25" s="16"/>
    </row>
    <row r="26" spans="1:12" x14ac:dyDescent="0.2">
      <c r="A26" s="14" t="s">
        <v>6</v>
      </c>
      <c r="B26" s="14" t="s">
        <v>234</v>
      </c>
      <c r="C26" s="14" t="s">
        <v>232</v>
      </c>
      <c r="D26" s="17">
        <v>0.77083333333333337</v>
      </c>
      <c r="E26" s="17">
        <v>0.8125</v>
      </c>
      <c r="F26" s="17">
        <f t="shared" si="0"/>
        <v>4.166666666666663E-2</v>
      </c>
      <c r="G26" s="15">
        <v>8</v>
      </c>
      <c r="H26" s="15">
        <f t="shared" si="1"/>
        <v>7.9999999999999929</v>
      </c>
      <c r="I26" s="15">
        <f t="shared" si="3"/>
        <v>33.999999999999972</v>
      </c>
      <c r="J26" s="15">
        <f>+H26*40</f>
        <v>319.99999999999972</v>
      </c>
      <c r="L26" s="16">
        <f>+J26/61.5</f>
        <v>5.2032520325203206</v>
      </c>
    </row>
    <row r="27" spans="1:12" x14ac:dyDescent="0.2">
      <c r="A27" s="14" t="s">
        <v>235</v>
      </c>
      <c r="B27" s="14" t="s">
        <v>236</v>
      </c>
      <c r="C27" s="14" t="s">
        <v>232</v>
      </c>
      <c r="D27" s="17">
        <v>0.83333333333333337</v>
      </c>
      <c r="E27" s="17">
        <v>0.875</v>
      </c>
      <c r="F27" s="17">
        <f t="shared" si="0"/>
        <v>4.166666666666663E-2</v>
      </c>
      <c r="G27" s="18">
        <v>0</v>
      </c>
      <c r="H27" s="15">
        <f t="shared" si="1"/>
        <v>0</v>
      </c>
      <c r="I27" s="15">
        <f t="shared" si="3"/>
        <v>0</v>
      </c>
      <c r="J27" s="15">
        <f>+H27*40</f>
        <v>0</v>
      </c>
      <c r="L27" s="16">
        <f>+J27/61.5</f>
        <v>0</v>
      </c>
    </row>
    <row r="28" spans="1:12" x14ac:dyDescent="0.2">
      <c r="D28" s="17"/>
      <c r="E28" s="17"/>
      <c r="F28" s="17"/>
      <c r="G28" s="18"/>
      <c r="H28" s="15"/>
      <c r="I28" s="15"/>
      <c r="J28" s="15"/>
      <c r="L28" s="16"/>
    </row>
    <row r="29" spans="1:12" x14ac:dyDescent="0.2">
      <c r="D29" s="17"/>
      <c r="E29" s="17"/>
      <c r="F29" s="17"/>
      <c r="G29" s="15"/>
      <c r="H29" s="15"/>
      <c r="I29" s="15"/>
      <c r="J29" s="15"/>
      <c r="L29" s="16"/>
    </row>
    <row r="30" spans="1:12" x14ac:dyDescent="0.2">
      <c r="A30" s="14" t="s">
        <v>237</v>
      </c>
      <c r="B30" s="14" t="s">
        <v>238</v>
      </c>
      <c r="D30" s="17"/>
      <c r="E30" s="17"/>
      <c r="F30" s="17"/>
      <c r="G30" s="15"/>
      <c r="H30" s="15"/>
      <c r="I30" s="15"/>
      <c r="J30" s="15">
        <f>SUM(J31,J32,J34:J39)</f>
        <v>3869.11</v>
      </c>
      <c r="K30" s="16">
        <f>+J30/40</f>
        <v>96.72775</v>
      </c>
      <c r="L30" s="16"/>
    </row>
    <row r="31" spans="1:12" x14ac:dyDescent="0.2">
      <c r="A31" s="14" t="s">
        <v>239</v>
      </c>
      <c r="D31" s="17"/>
      <c r="E31" s="17"/>
      <c r="F31" s="17"/>
      <c r="G31" s="15"/>
      <c r="H31" s="15"/>
      <c r="I31" s="15"/>
      <c r="J31" s="15">
        <v>1605.96</v>
      </c>
      <c r="L31" s="16"/>
    </row>
    <row r="32" spans="1:12" x14ac:dyDescent="0.2">
      <c r="A32" s="14" t="s">
        <v>240</v>
      </c>
      <c r="D32" s="17"/>
      <c r="E32" s="17"/>
      <c r="F32" s="17"/>
      <c r="G32" s="15"/>
      <c r="H32" s="15"/>
      <c r="I32" s="15"/>
      <c r="J32" s="15">
        <v>943.15</v>
      </c>
      <c r="L32" s="16"/>
    </row>
    <row r="33" spans="1:12" x14ac:dyDescent="0.2">
      <c r="A33" s="14" t="s">
        <v>241</v>
      </c>
      <c r="D33" s="17"/>
      <c r="E33" s="17"/>
      <c r="F33" s="17"/>
      <c r="G33" s="15"/>
      <c r="H33" s="15"/>
      <c r="I33" s="15"/>
      <c r="J33" s="15">
        <f>SUM(J34:J39)</f>
        <v>1320</v>
      </c>
      <c r="L33" s="16"/>
    </row>
    <row r="34" spans="1:12" x14ac:dyDescent="0.2">
      <c r="A34" s="14" t="s">
        <v>242</v>
      </c>
      <c r="B34" s="14" t="s">
        <v>238</v>
      </c>
      <c r="C34" s="14" t="s">
        <v>243</v>
      </c>
      <c r="D34" s="17">
        <v>0.66666666666666663</v>
      </c>
      <c r="E34" s="17">
        <v>0.83333333333333337</v>
      </c>
      <c r="F34" s="17">
        <f t="shared" ref="F34:F39" si="5">+E34-D34</f>
        <v>0.16666666666666674</v>
      </c>
      <c r="G34" s="15" t="s">
        <v>244</v>
      </c>
      <c r="H34" s="15" t="s">
        <v>244</v>
      </c>
      <c r="I34" s="15">
        <v>22</v>
      </c>
      <c r="J34" s="15">
        <f t="shared" ref="J34:J39" si="6">+I34*10</f>
        <v>220</v>
      </c>
    </row>
    <row r="35" spans="1:12" x14ac:dyDescent="0.2">
      <c r="A35" s="14" t="s">
        <v>245</v>
      </c>
      <c r="B35" s="14" t="s">
        <v>238</v>
      </c>
      <c r="C35" s="14" t="s">
        <v>246</v>
      </c>
      <c r="D35" s="17">
        <v>0.66666666666666663</v>
      </c>
      <c r="E35" s="17">
        <v>0.72916666666666663</v>
      </c>
      <c r="F35" s="17">
        <f t="shared" si="5"/>
        <v>6.25E-2</v>
      </c>
      <c r="G35" s="15" t="s">
        <v>244</v>
      </c>
      <c r="H35" s="15" t="s">
        <v>244</v>
      </c>
      <c r="I35" s="15">
        <v>22</v>
      </c>
      <c r="J35" s="15">
        <f t="shared" si="6"/>
        <v>220</v>
      </c>
      <c r="L35" s="16"/>
    </row>
    <row r="36" spans="1:12" x14ac:dyDescent="0.2">
      <c r="A36" s="14" t="s">
        <v>247</v>
      </c>
      <c r="B36" s="14" t="s">
        <v>238</v>
      </c>
      <c r="C36" s="14" t="s">
        <v>248</v>
      </c>
      <c r="D36" s="17">
        <v>0.75</v>
      </c>
      <c r="E36" s="17">
        <v>0.83333333333333337</v>
      </c>
      <c r="F36" s="17">
        <f t="shared" si="5"/>
        <v>8.333333333333337E-2</v>
      </c>
      <c r="G36" s="15" t="s">
        <v>244</v>
      </c>
      <c r="H36" s="15" t="s">
        <v>244</v>
      </c>
      <c r="I36" s="15">
        <v>22</v>
      </c>
      <c r="J36" s="15">
        <f t="shared" si="6"/>
        <v>220</v>
      </c>
      <c r="L36" s="16"/>
    </row>
    <row r="37" spans="1:12" x14ac:dyDescent="0.2">
      <c r="A37" s="14" t="s">
        <v>47</v>
      </c>
      <c r="B37" s="14" t="s">
        <v>238</v>
      </c>
      <c r="C37" s="14" t="s">
        <v>248</v>
      </c>
      <c r="D37" s="17">
        <v>0.75</v>
      </c>
      <c r="E37" s="17">
        <v>0.83333333333333337</v>
      </c>
      <c r="F37" s="17">
        <f t="shared" si="5"/>
        <v>8.333333333333337E-2</v>
      </c>
      <c r="G37" s="15" t="s">
        <v>244</v>
      </c>
      <c r="H37" s="15" t="s">
        <v>244</v>
      </c>
      <c r="I37" s="15">
        <v>22</v>
      </c>
      <c r="J37" s="15">
        <f t="shared" si="6"/>
        <v>220</v>
      </c>
      <c r="L37" s="16"/>
    </row>
    <row r="38" spans="1:12" x14ac:dyDescent="0.2">
      <c r="A38" s="14" t="s">
        <v>118</v>
      </c>
      <c r="B38" s="14" t="s">
        <v>238</v>
      </c>
      <c r="C38" s="14" t="s">
        <v>249</v>
      </c>
      <c r="D38" s="17">
        <v>0.75</v>
      </c>
      <c r="E38" s="17">
        <v>0.83333333333333337</v>
      </c>
      <c r="F38" s="17">
        <f t="shared" si="5"/>
        <v>8.333333333333337E-2</v>
      </c>
      <c r="G38" s="15" t="s">
        <v>244</v>
      </c>
      <c r="H38" s="15" t="s">
        <v>244</v>
      </c>
      <c r="I38" s="15">
        <v>22</v>
      </c>
      <c r="J38" s="15">
        <f t="shared" si="6"/>
        <v>220</v>
      </c>
      <c r="L38" s="16"/>
    </row>
    <row r="39" spans="1:12" x14ac:dyDescent="0.2">
      <c r="A39" s="14" t="s">
        <v>250</v>
      </c>
      <c r="B39" s="14" t="s">
        <v>238</v>
      </c>
      <c r="D39" s="17">
        <v>0.66666666666666663</v>
      </c>
      <c r="E39" s="17">
        <v>0.75</v>
      </c>
      <c r="F39" s="17">
        <f t="shared" si="5"/>
        <v>8.333333333333337E-2</v>
      </c>
      <c r="G39" s="15" t="s">
        <v>244</v>
      </c>
      <c r="H39" s="15" t="s">
        <v>244</v>
      </c>
      <c r="I39" s="15">
        <v>22</v>
      </c>
      <c r="J39" s="15">
        <f t="shared" si="6"/>
        <v>220</v>
      </c>
      <c r="L39" s="16"/>
    </row>
    <row r="40" spans="1:12" x14ac:dyDescent="0.2">
      <c r="D40" s="17"/>
      <c r="E40" s="17"/>
      <c r="F40" s="17"/>
      <c r="G40" s="15"/>
      <c r="H40" s="15"/>
      <c r="I40" s="20">
        <f>SUM(I34:I39)</f>
        <v>132</v>
      </c>
      <c r="J40" s="15"/>
      <c r="L40" s="16"/>
    </row>
    <row r="41" spans="1:12" x14ac:dyDescent="0.2">
      <c r="D41" s="17"/>
      <c r="E41" s="17"/>
      <c r="F41" s="17"/>
      <c r="G41" s="15"/>
      <c r="H41" s="15"/>
      <c r="I41" s="15"/>
      <c r="J41" s="15"/>
      <c r="L41" s="16"/>
    </row>
    <row r="42" spans="1:12" x14ac:dyDescent="0.2">
      <c r="D42" s="17"/>
      <c r="E42" s="17"/>
      <c r="F42" s="17"/>
      <c r="G42" s="15"/>
      <c r="H42" s="15"/>
      <c r="I42" s="15"/>
      <c r="J42" s="15"/>
      <c r="L42" s="16"/>
    </row>
    <row r="43" spans="1:12" x14ac:dyDescent="0.2">
      <c r="A43" s="14" t="s">
        <v>251</v>
      </c>
      <c r="E43" s="17"/>
      <c r="F43" s="17"/>
      <c r="G43" s="15"/>
      <c r="H43" s="15"/>
      <c r="I43" s="15"/>
      <c r="J43" s="15"/>
      <c r="L43" s="16"/>
    </row>
    <row r="44" spans="1:12" ht="13.5" thickBot="1" x14ac:dyDescent="0.25">
      <c r="A44" s="14" t="s">
        <v>0</v>
      </c>
      <c r="B44" s="14" t="s">
        <v>252</v>
      </c>
      <c r="E44" s="17"/>
      <c r="F44" s="17"/>
      <c r="G44" s="15"/>
      <c r="H44" s="15"/>
      <c r="I44" s="21">
        <f t="shared" ref="I44:I53" si="7">SUMIF($A$5:$A$27,A44,I$5:I$27)</f>
        <v>119.00000000000003</v>
      </c>
      <c r="J44" s="21">
        <f t="shared" ref="J44:J53" si="8">SUMIF($A$5:$A$27,$A44,J$5:J$27)</f>
        <v>1120.0000000000002</v>
      </c>
      <c r="L44" s="16"/>
    </row>
    <row r="45" spans="1:12" ht="14.25" thickTop="1" thickBot="1" x14ac:dyDescent="0.25">
      <c r="A45" s="14" t="s">
        <v>228</v>
      </c>
      <c r="B45" s="14" t="s">
        <v>252</v>
      </c>
      <c r="E45" s="17"/>
      <c r="F45" s="17"/>
      <c r="G45" s="15"/>
      <c r="H45" s="15"/>
      <c r="I45" s="21">
        <f t="shared" si="7"/>
        <v>42.499999999999964</v>
      </c>
      <c r="J45" s="21">
        <f t="shared" si="8"/>
        <v>399.99999999999966</v>
      </c>
      <c r="L45" s="16"/>
    </row>
    <row r="46" spans="1:12" ht="14.25" thickTop="1" thickBot="1" x14ac:dyDescent="0.25">
      <c r="A46" s="14" t="s">
        <v>1</v>
      </c>
      <c r="B46" s="14" t="s">
        <v>252</v>
      </c>
      <c r="E46" s="17"/>
      <c r="F46" s="17"/>
      <c r="G46" s="15"/>
      <c r="H46" s="15"/>
      <c r="I46" s="21">
        <f t="shared" si="7"/>
        <v>51</v>
      </c>
      <c r="J46" s="21">
        <f t="shared" si="8"/>
        <v>480</v>
      </c>
      <c r="L46" s="16"/>
    </row>
    <row r="47" spans="1:12" ht="14.25" thickTop="1" thickBot="1" x14ac:dyDescent="0.25">
      <c r="A47" s="14" t="s">
        <v>5</v>
      </c>
      <c r="B47" s="14" t="s">
        <v>252</v>
      </c>
      <c r="E47" s="17"/>
      <c r="F47" s="17"/>
      <c r="G47" s="15"/>
      <c r="H47" s="15"/>
      <c r="I47" s="21">
        <f t="shared" si="7"/>
        <v>84.999999999999972</v>
      </c>
      <c r="J47" s="21">
        <f t="shared" si="8"/>
        <v>799.99999999999977</v>
      </c>
      <c r="L47" s="16"/>
    </row>
    <row r="48" spans="1:12" ht="14.25" thickTop="1" thickBot="1" x14ac:dyDescent="0.25">
      <c r="A48" s="14" t="s">
        <v>6</v>
      </c>
      <c r="B48" s="14" t="s">
        <v>252</v>
      </c>
      <c r="E48" s="17"/>
      <c r="F48" s="17"/>
      <c r="G48" s="15"/>
      <c r="H48" s="15"/>
      <c r="I48" s="21">
        <f t="shared" si="7"/>
        <v>67.999999999999943</v>
      </c>
      <c r="J48" s="21">
        <f t="shared" si="8"/>
        <v>639.99999999999943</v>
      </c>
      <c r="L48" s="16"/>
    </row>
    <row r="49" spans="1:10" ht="14.25" thickTop="1" thickBot="1" x14ac:dyDescent="0.25">
      <c r="A49" s="14" t="s">
        <v>215</v>
      </c>
      <c r="B49" s="14" t="s">
        <v>252</v>
      </c>
      <c r="I49" s="21">
        <f t="shared" si="7"/>
        <v>102</v>
      </c>
      <c r="J49" s="21">
        <f t="shared" si="8"/>
        <v>960</v>
      </c>
    </row>
    <row r="50" spans="1:10" ht="14.25" thickTop="1" thickBot="1" x14ac:dyDescent="0.25">
      <c r="A50" s="14" t="s">
        <v>229</v>
      </c>
      <c r="B50" s="14" t="s">
        <v>252</v>
      </c>
      <c r="I50" s="21">
        <f t="shared" si="7"/>
        <v>22</v>
      </c>
      <c r="J50" s="21">
        <f t="shared" si="8"/>
        <v>220</v>
      </c>
    </row>
    <row r="51" spans="1:10" ht="14.25" thickTop="1" thickBot="1" x14ac:dyDescent="0.25">
      <c r="A51" s="14" t="s">
        <v>2</v>
      </c>
      <c r="B51" s="14" t="s">
        <v>252</v>
      </c>
      <c r="I51" s="21">
        <f t="shared" si="7"/>
        <v>33.999999999999972</v>
      </c>
      <c r="J51" s="21">
        <f t="shared" si="8"/>
        <v>319.99999999999972</v>
      </c>
    </row>
    <row r="52" spans="1:10" ht="14.25" thickTop="1" thickBot="1" x14ac:dyDescent="0.25">
      <c r="A52" s="14" t="s">
        <v>225</v>
      </c>
      <c r="B52" s="14" t="s">
        <v>252</v>
      </c>
      <c r="I52" s="21">
        <f t="shared" si="7"/>
        <v>178.50000000000003</v>
      </c>
      <c r="J52" s="21">
        <f t="shared" si="8"/>
        <v>1680.0000000000002</v>
      </c>
    </row>
    <row r="53" spans="1:10" ht="14.25" thickTop="1" thickBot="1" x14ac:dyDescent="0.25">
      <c r="A53" s="14" t="s">
        <v>235</v>
      </c>
      <c r="B53" s="14" t="s">
        <v>252</v>
      </c>
      <c r="I53" s="21">
        <f t="shared" si="7"/>
        <v>0</v>
      </c>
      <c r="J53" s="21">
        <f t="shared" si="8"/>
        <v>0</v>
      </c>
    </row>
    <row r="54" spans="1:10" ht="13.5" thickTop="1" x14ac:dyDescent="0.2"/>
    <row r="55" spans="1:10" x14ac:dyDescent="0.2">
      <c r="A55" s="14" t="s">
        <v>253</v>
      </c>
      <c r="I55" s="15">
        <f>SUM(I44:I54,I34:I39)</f>
        <v>833.99999999999989</v>
      </c>
      <c r="J55" s="15">
        <f>SUM(J44:J54,J34:J39)</f>
        <v>7940</v>
      </c>
    </row>
  </sheetData>
  <sheetProtection selectLockedCells="1"/>
  <autoFilter ref="A4:L53" xr:uid="{00000000-0009-0000-0000-00000B000000}"/>
  <conditionalFormatting sqref="G5:G28">
    <cfRule type="cellIs" dxfId="2" priority="1" stopIfTrue="1" operator="lessThan">
      <formula>0.01</formula>
    </cfRule>
    <cfRule type="cellIs" dxfId="1" priority="2" stopIfTrue="1" operator="between">
      <formula>1</formula>
      <formula>7</formula>
    </cfRule>
    <cfRule type="cellIs" dxfId="0" priority="3" stopIfTrue="1" operator="greaterThan">
      <formula>7</formula>
    </cfRule>
  </conditionalFormatting>
  <pageMargins left="0.78740157499999996" right="0.78740157499999996" top="0.984251969" bottom="0.984251969" header="0.4921259845" footer="0.4921259845"/>
  <pageSetup paperSize="9" scale="71" orientation="landscape" r:id="rId1"/>
  <headerFooter alignWithMargins="0">
    <oddHeader>&amp;LSport - Sparten - Kalkulation</oddHeader>
    <oddFooter>&amp;L&amp;F&amp;RAndreas Philipp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FFA1F-00A9-468A-966E-EBA2BFE535A0}">
  <sheetPr>
    <pageSetUpPr fitToPage="1"/>
  </sheetPr>
  <dimension ref="A1:J53"/>
  <sheetViews>
    <sheetView topLeftCell="A17" zoomScaleNormal="100" workbookViewId="0">
      <selection activeCell="A12" activeCellId="2" sqref="C5:D8 G5:G8 A12:D29"/>
    </sheetView>
  </sheetViews>
  <sheetFormatPr baseColWidth="10" defaultColWidth="11.42578125" defaultRowHeight="15" x14ac:dyDescent="0.25"/>
  <cols>
    <col min="1" max="1" width="14.5703125" style="1" customWidth="1"/>
    <col min="2" max="2" width="13.85546875" style="1" customWidth="1"/>
    <col min="3" max="3" width="27.28515625" style="1" customWidth="1"/>
    <col min="4" max="4" width="11.28515625" style="1" bestFit="1" customWidth="1"/>
    <col min="5" max="5" width="15" style="1" customWidth="1"/>
    <col min="6" max="6" width="9.140625" style="1" customWidth="1"/>
    <col min="7" max="7" width="13.7109375" style="1" customWidth="1"/>
    <col min="8" max="8" width="13.5703125" style="1" customWidth="1"/>
    <col min="9" max="16384" width="11.42578125" style="1"/>
  </cols>
  <sheetData>
    <row r="1" spans="1:10" ht="18" x14ac:dyDescent="0.25">
      <c r="A1" s="124" t="s">
        <v>55</v>
      </c>
      <c r="B1" s="124"/>
    </row>
    <row r="2" spans="1:10" ht="42.75" customHeight="1" thickBot="1" x14ac:dyDescent="0.3">
      <c r="A2" s="124" t="s">
        <v>56</v>
      </c>
      <c r="B2" s="124"/>
    </row>
    <row r="3" spans="1:10" ht="12" customHeight="1" x14ac:dyDescent="0.25">
      <c r="A3" s="133"/>
      <c r="B3" s="134"/>
      <c r="C3" s="107"/>
      <c r="D3" s="107"/>
      <c r="E3" s="107"/>
      <c r="F3" s="107"/>
      <c r="G3" s="107"/>
      <c r="H3" s="135"/>
    </row>
    <row r="4" spans="1:10" x14ac:dyDescent="0.25">
      <c r="A4" s="108"/>
      <c r="G4" s="136" t="s">
        <v>57</v>
      </c>
      <c r="H4" s="137"/>
    </row>
    <row r="5" spans="1:10" ht="21" x14ac:dyDescent="0.25">
      <c r="A5" s="138" t="s">
        <v>58</v>
      </c>
      <c r="B5" s="125"/>
      <c r="C5" s="196"/>
      <c r="D5" s="197"/>
      <c r="F5" s="72" t="s">
        <v>59</v>
      </c>
      <c r="G5" s="150" t="s">
        <v>284</v>
      </c>
      <c r="H5" s="115">
        <f>VLOOKUP(G5,Vorgabe_ab_2023!$A$5:$D$10,4)</f>
        <v>4</v>
      </c>
    </row>
    <row r="6" spans="1:10" ht="21" x14ac:dyDescent="0.25">
      <c r="A6" s="138" t="s">
        <v>60</v>
      </c>
      <c r="B6" s="125"/>
      <c r="C6" s="197"/>
      <c r="D6" s="197"/>
      <c r="F6" s="72" t="s">
        <v>281</v>
      </c>
      <c r="G6" s="150" t="s">
        <v>15</v>
      </c>
      <c r="H6" s="115" t="str">
        <f>IF(LEFT($G$5,1)="A","0",VLOOKUP(G6,Vorgabe_ab_2023!$A$14:$D$15,4))</f>
        <v>0</v>
      </c>
    </row>
    <row r="7" spans="1:10" ht="21" x14ac:dyDescent="0.25">
      <c r="A7" s="138" t="s">
        <v>61</v>
      </c>
      <c r="B7" s="125"/>
      <c r="C7" s="197"/>
      <c r="D7" s="197"/>
      <c r="F7" s="72" t="s">
        <v>62</v>
      </c>
      <c r="G7" s="150" t="s">
        <v>20</v>
      </c>
      <c r="H7" s="115" t="str">
        <f>IF(LEFT($G$5,1)="A","0",VLOOKUP(G7,Vorgabe_ab_2023!$A$19:$D$22,4))</f>
        <v>0</v>
      </c>
    </row>
    <row r="8" spans="1:10" ht="21" x14ac:dyDescent="0.25">
      <c r="A8" s="138" t="s">
        <v>63</v>
      </c>
      <c r="B8" s="125"/>
      <c r="C8" s="197"/>
      <c r="D8" s="197"/>
      <c r="F8" s="72" t="s">
        <v>64</v>
      </c>
      <c r="G8" s="150" t="s">
        <v>15</v>
      </c>
      <c r="H8" s="115" t="str">
        <f>IF(LEFT($G$5,1)="A","0",VLOOKUP(G8,Vorgabe_ab_2023!$A$34:$D$35,4))</f>
        <v>0</v>
      </c>
    </row>
    <row r="9" spans="1:10" ht="15.75" thickBot="1" x14ac:dyDescent="0.3">
      <c r="A9" s="139"/>
      <c r="B9" s="119"/>
      <c r="C9" s="198"/>
      <c r="D9" s="198"/>
      <c r="E9" s="140"/>
      <c r="F9" s="119"/>
      <c r="G9" s="119"/>
      <c r="H9" s="141">
        <f>SUM(H5:H8)</f>
        <v>4</v>
      </c>
      <c r="J9" s="73"/>
    </row>
    <row r="10" spans="1:10" ht="15.75" thickBot="1" x14ac:dyDescent="0.3"/>
    <row r="11" spans="1:10" s="122" customFormat="1" ht="45.75" thickBot="1" x14ac:dyDescent="0.3">
      <c r="A11" s="142" t="s">
        <v>65</v>
      </c>
      <c r="B11" s="191" t="s">
        <v>66</v>
      </c>
      <c r="C11" s="191"/>
      <c r="D11" s="143" t="s">
        <v>67</v>
      </c>
      <c r="E11" s="190" t="s">
        <v>68</v>
      </c>
      <c r="F11" s="190"/>
      <c r="G11" s="143" t="s">
        <v>69</v>
      </c>
      <c r="H11" s="144" t="s">
        <v>70</v>
      </c>
    </row>
    <row r="12" spans="1:10" ht="30" x14ac:dyDescent="0.25">
      <c r="A12" s="159"/>
      <c r="B12" s="192"/>
      <c r="C12" s="192"/>
      <c r="D12" s="151"/>
      <c r="E12" s="152" t="s">
        <v>22</v>
      </c>
      <c r="F12" s="148" t="str">
        <f>IF(LEFT($G$5,1)="A","0,00",VLOOKUP(E12,Vorgabe_ab_2023!$A$26:$D$30,4))</f>
        <v>0,00</v>
      </c>
      <c r="G12" s="148">
        <f>H12*D12</f>
        <v>0</v>
      </c>
      <c r="H12" s="149">
        <f t="shared" ref="H12:H29" si="0">$H$9+F12</f>
        <v>4</v>
      </c>
    </row>
    <row r="13" spans="1:10" ht="30" x14ac:dyDescent="0.25">
      <c r="A13" s="160"/>
      <c r="B13" s="193"/>
      <c r="C13" s="193"/>
      <c r="D13" s="153"/>
      <c r="E13" s="154" t="s">
        <v>71</v>
      </c>
      <c r="F13" s="126" t="str">
        <f>IF(LEFT($G$5,1)="A","0,00",VLOOKUP(E13,Vorgabe_ab_2023!$A$26:$D$30,3))</f>
        <v>0,00</v>
      </c>
      <c r="G13" s="126">
        <f t="shared" ref="G13:G29" si="1">H13*D13</f>
        <v>0</v>
      </c>
      <c r="H13" s="145">
        <f t="shared" si="0"/>
        <v>4</v>
      </c>
    </row>
    <row r="14" spans="1:10" ht="30" x14ac:dyDescent="0.25">
      <c r="A14" s="160"/>
      <c r="B14" s="193"/>
      <c r="C14" s="193"/>
      <c r="D14" s="153"/>
      <c r="E14" s="154" t="s">
        <v>71</v>
      </c>
      <c r="F14" s="126" t="str">
        <f>IF(LEFT($G$5,1)="A","0,00",VLOOKUP(E14,Vorgabe_ab_2023!$A$26:$D$30,3))</f>
        <v>0,00</v>
      </c>
      <c r="G14" s="126">
        <f t="shared" si="1"/>
        <v>0</v>
      </c>
      <c r="H14" s="145">
        <f t="shared" si="0"/>
        <v>4</v>
      </c>
    </row>
    <row r="15" spans="1:10" ht="30" x14ac:dyDescent="0.25">
      <c r="A15" s="160"/>
      <c r="B15" s="193"/>
      <c r="C15" s="193"/>
      <c r="D15" s="153"/>
      <c r="E15" s="154" t="s">
        <v>71</v>
      </c>
      <c r="F15" s="126" t="str">
        <f>IF(LEFT($G$5,1)="A","0,00",VLOOKUP(E15,Vorgabe_ab_2023!$A$26:$D$30,3))</f>
        <v>0,00</v>
      </c>
      <c r="G15" s="126">
        <f t="shared" si="1"/>
        <v>0</v>
      </c>
      <c r="H15" s="145">
        <f t="shared" si="0"/>
        <v>4</v>
      </c>
    </row>
    <row r="16" spans="1:10" ht="30" x14ac:dyDescent="0.25">
      <c r="A16" s="160"/>
      <c r="B16" s="193"/>
      <c r="C16" s="193"/>
      <c r="D16" s="153"/>
      <c r="E16" s="154" t="s">
        <v>71</v>
      </c>
      <c r="F16" s="126" t="str">
        <f>IF(LEFT($G$5,1)="A","0,00",VLOOKUP(E16,Vorgabe_ab_2023!$A$26:$D$30,3))</f>
        <v>0,00</v>
      </c>
      <c r="G16" s="126">
        <f t="shared" si="1"/>
        <v>0</v>
      </c>
      <c r="H16" s="145">
        <f t="shared" si="0"/>
        <v>4</v>
      </c>
    </row>
    <row r="17" spans="1:9" ht="30" x14ac:dyDescent="0.25">
      <c r="A17" s="160"/>
      <c r="B17" s="193"/>
      <c r="C17" s="193"/>
      <c r="D17" s="153"/>
      <c r="E17" s="154" t="s">
        <v>71</v>
      </c>
      <c r="F17" s="126" t="str">
        <f>IF(LEFT($G$5,1)="A","0,00",VLOOKUP(E17,Vorgabe_ab_2023!$A$26:$D$30,3))</f>
        <v>0,00</v>
      </c>
      <c r="G17" s="126">
        <f t="shared" si="1"/>
        <v>0</v>
      </c>
      <c r="H17" s="145">
        <f t="shared" si="0"/>
        <v>4</v>
      </c>
    </row>
    <row r="18" spans="1:9" ht="30" x14ac:dyDescent="0.25">
      <c r="A18" s="160"/>
      <c r="B18" s="193"/>
      <c r="C18" s="193"/>
      <c r="D18" s="153"/>
      <c r="E18" s="154" t="s">
        <v>71</v>
      </c>
      <c r="F18" s="126" t="str">
        <f>IF(LEFT($G$5,1)="A","0,00",VLOOKUP(E18,Vorgabe_ab_2023!$A$26:$D$30,3))</f>
        <v>0,00</v>
      </c>
      <c r="G18" s="126">
        <f t="shared" si="1"/>
        <v>0</v>
      </c>
      <c r="H18" s="145">
        <f t="shared" si="0"/>
        <v>4</v>
      </c>
    </row>
    <row r="19" spans="1:9" ht="30" x14ac:dyDescent="0.25">
      <c r="A19" s="160"/>
      <c r="B19" s="193"/>
      <c r="C19" s="193"/>
      <c r="D19" s="153"/>
      <c r="E19" s="154" t="s">
        <v>71</v>
      </c>
      <c r="F19" s="126" t="str">
        <f>IF(LEFT($G$5,1)="A","0,00",VLOOKUP(E19,Vorgabe_ab_2023!$A$26:$D$30,3))</f>
        <v>0,00</v>
      </c>
      <c r="G19" s="126">
        <f t="shared" si="1"/>
        <v>0</v>
      </c>
      <c r="H19" s="145">
        <f t="shared" si="0"/>
        <v>4</v>
      </c>
    </row>
    <row r="20" spans="1:9" ht="30" x14ac:dyDescent="0.25">
      <c r="A20" s="160"/>
      <c r="B20" s="193"/>
      <c r="C20" s="193"/>
      <c r="D20" s="153"/>
      <c r="E20" s="154" t="s">
        <v>71</v>
      </c>
      <c r="F20" s="126" t="str">
        <f>IF(LEFT($G$5,1)="A","0,00",VLOOKUP(E20,Vorgabe_ab_2023!$A$26:$D$30,3))</f>
        <v>0,00</v>
      </c>
      <c r="G20" s="126">
        <f t="shared" si="1"/>
        <v>0</v>
      </c>
      <c r="H20" s="145">
        <f t="shared" si="0"/>
        <v>4</v>
      </c>
    </row>
    <row r="21" spans="1:9" ht="30" x14ac:dyDescent="0.25">
      <c r="A21" s="160"/>
      <c r="B21" s="193"/>
      <c r="C21" s="193"/>
      <c r="D21" s="153"/>
      <c r="E21" s="154" t="s">
        <v>71</v>
      </c>
      <c r="F21" s="126" t="str">
        <f>IF(LEFT($G$5,1)="A","0,00",VLOOKUP(E21,Vorgabe_ab_2023!$A$26:$D$30,3))</f>
        <v>0,00</v>
      </c>
      <c r="G21" s="126">
        <f t="shared" si="1"/>
        <v>0</v>
      </c>
      <c r="H21" s="145">
        <f t="shared" si="0"/>
        <v>4</v>
      </c>
    </row>
    <row r="22" spans="1:9" ht="30" x14ac:dyDescent="0.25">
      <c r="A22" s="160"/>
      <c r="B22" s="193"/>
      <c r="C22" s="193"/>
      <c r="D22" s="153"/>
      <c r="E22" s="154" t="s">
        <v>71</v>
      </c>
      <c r="F22" s="126" t="str">
        <f>IF(LEFT($G$5,1)="A","0,00",VLOOKUP(E22,Vorgabe_ab_2023!$A$26:$D$30,3))</f>
        <v>0,00</v>
      </c>
      <c r="G22" s="126">
        <f t="shared" si="1"/>
        <v>0</v>
      </c>
      <c r="H22" s="145">
        <f t="shared" si="0"/>
        <v>4</v>
      </c>
    </row>
    <row r="23" spans="1:9" ht="30" x14ac:dyDescent="0.25">
      <c r="A23" s="160"/>
      <c r="B23" s="193"/>
      <c r="C23" s="193"/>
      <c r="D23" s="153"/>
      <c r="E23" s="154" t="s">
        <v>71</v>
      </c>
      <c r="F23" s="126" t="str">
        <f>IF(LEFT($G$5,1)="A","0,00",VLOOKUP(E23,Vorgabe_ab_2023!$A$26:$D$30,3))</f>
        <v>0,00</v>
      </c>
      <c r="G23" s="126">
        <f t="shared" si="1"/>
        <v>0</v>
      </c>
      <c r="H23" s="145">
        <f t="shared" si="0"/>
        <v>4</v>
      </c>
    </row>
    <row r="24" spans="1:9" ht="30" x14ac:dyDescent="0.25">
      <c r="A24" s="160"/>
      <c r="B24" s="193"/>
      <c r="C24" s="193"/>
      <c r="D24" s="153"/>
      <c r="E24" s="154" t="s">
        <v>71</v>
      </c>
      <c r="F24" s="126" t="str">
        <f>IF(LEFT($G$5,1)="A","0,00",VLOOKUP(E24,Vorgabe_ab_2023!$A$26:$D$30,3))</f>
        <v>0,00</v>
      </c>
      <c r="G24" s="126">
        <f t="shared" si="1"/>
        <v>0</v>
      </c>
      <c r="H24" s="145">
        <f t="shared" si="0"/>
        <v>4</v>
      </c>
    </row>
    <row r="25" spans="1:9" ht="30" x14ac:dyDescent="0.25">
      <c r="A25" s="160"/>
      <c r="B25" s="193"/>
      <c r="C25" s="193"/>
      <c r="D25" s="153"/>
      <c r="E25" s="154" t="s">
        <v>71</v>
      </c>
      <c r="F25" s="126" t="str">
        <f>IF(LEFT($G$5,1)="A","0,00",VLOOKUP(E25,Vorgabe_ab_2023!$A$26:$D$30,3))</f>
        <v>0,00</v>
      </c>
      <c r="G25" s="126">
        <f t="shared" si="1"/>
        <v>0</v>
      </c>
      <c r="H25" s="145">
        <f t="shared" si="0"/>
        <v>4</v>
      </c>
    </row>
    <row r="26" spans="1:9" ht="30" x14ac:dyDescent="0.25">
      <c r="A26" s="160"/>
      <c r="B26" s="193"/>
      <c r="C26" s="193"/>
      <c r="D26" s="153"/>
      <c r="E26" s="154" t="s">
        <v>71</v>
      </c>
      <c r="F26" s="126" t="str">
        <f>IF(LEFT($G$5,1)="A","0,00",VLOOKUP(E26,Vorgabe_ab_2023!$A$26:$D$30,3))</f>
        <v>0,00</v>
      </c>
      <c r="G26" s="126">
        <f t="shared" si="1"/>
        <v>0</v>
      </c>
      <c r="H26" s="145">
        <f t="shared" si="0"/>
        <v>4</v>
      </c>
    </row>
    <row r="27" spans="1:9" ht="30" x14ac:dyDescent="0.25">
      <c r="A27" s="160"/>
      <c r="B27" s="193"/>
      <c r="C27" s="193"/>
      <c r="D27" s="153"/>
      <c r="E27" s="154" t="s">
        <v>71</v>
      </c>
      <c r="F27" s="126" t="str">
        <f>IF(LEFT($G$5,1)="A","0,00",VLOOKUP(E27,Vorgabe_ab_2023!$A$26:$D$30,3))</f>
        <v>0,00</v>
      </c>
      <c r="G27" s="126">
        <f t="shared" si="1"/>
        <v>0</v>
      </c>
      <c r="H27" s="145">
        <f t="shared" si="0"/>
        <v>4</v>
      </c>
    </row>
    <row r="28" spans="1:9" ht="30" x14ac:dyDescent="0.25">
      <c r="A28" s="160"/>
      <c r="B28" s="193"/>
      <c r="C28" s="193"/>
      <c r="D28" s="153"/>
      <c r="E28" s="154" t="s">
        <v>71</v>
      </c>
      <c r="F28" s="126" t="str">
        <f>IF(LEFT($G$5,1)="A","0,00",VLOOKUP(E28,Vorgabe_ab_2023!$A$26:$D$30,3))</f>
        <v>0,00</v>
      </c>
      <c r="G28" s="126">
        <f t="shared" si="1"/>
        <v>0</v>
      </c>
      <c r="H28" s="145">
        <f t="shared" si="0"/>
        <v>4</v>
      </c>
    </row>
    <row r="29" spans="1:9" ht="30.75" thickBot="1" x14ac:dyDescent="0.3">
      <c r="A29" s="161"/>
      <c r="B29" s="195"/>
      <c r="C29" s="195"/>
      <c r="D29" s="155"/>
      <c r="E29" s="156" t="s">
        <v>71</v>
      </c>
      <c r="F29" s="146" t="str">
        <f>IF(LEFT($G$5,1)="A","0,00",VLOOKUP(E29,Vorgabe_ab_2023!$A$26:$D$30,4))</f>
        <v>0,00</v>
      </c>
      <c r="G29" s="146">
        <f t="shared" si="1"/>
        <v>0</v>
      </c>
      <c r="H29" s="147">
        <f t="shared" si="0"/>
        <v>4</v>
      </c>
    </row>
    <row r="30" spans="1:9" ht="15.75" thickBot="1" x14ac:dyDescent="0.3"/>
    <row r="31" spans="1:9" s="132" customFormat="1" ht="28.5" customHeight="1" thickBot="1" x14ac:dyDescent="0.3">
      <c r="A31" s="158" t="s">
        <v>286</v>
      </c>
      <c r="B31" s="127"/>
      <c r="C31" s="128" t="s">
        <v>72</v>
      </c>
      <c r="D31" s="216">
        <f>SUM(D12:D29)</f>
        <v>0</v>
      </c>
      <c r="E31" s="129" t="s">
        <v>73</v>
      </c>
      <c r="F31" s="129"/>
      <c r="G31" s="130">
        <f>SUM(G12:G30)</f>
        <v>0</v>
      </c>
      <c r="H31" s="131"/>
      <c r="I31" s="166" t="e">
        <f>ROUND(G31/D31,2)</f>
        <v>#DIV/0!</v>
      </c>
    </row>
    <row r="36" spans="1:8" ht="15.75" thickBot="1" x14ac:dyDescent="0.3">
      <c r="E36" s="194" t="s">
        <v>74</v>
      </c>
      <c r="F36" s="194"/>
      <c r="G36" s="194"/>
      <c r="H36" s="194"/>
    </row>
    <row r="37" spans="1:8" ht="35.25" customHeight="1" x14ac:dyDescent="0.25">
      <c r="A37" s="178">
        <f>+C6</f>
        <v>0</v>
      </c>
      <c r="B37" s="179"/>
      <c r="C37" s="179"/>
      <c r="D37" s="179"/>
      <c r="E37" s="180"/>
    </row>
    <row r="38" spans="1:8" ht="9.9499999999999993" hidden="1" customHeight="1" x14ac:dyDescent="0.25">
      <c r="A38" s="172"/>
      <c r="B38" s="173"/>
      <c r="C38" s="173"/>
      <c r="D38" s="173"/>
      <c r="E38" s="174"/>
    </row>
    <row r="39" spans="1:8" ht="20.100000000000001" hidden="1" customHeight="1" x14ac:dyDescent="0.25">
      <c r="A39" s="184" t="s">
        <v>274</v>
      </c>
      <c r="B39" s="185"/>
      <c r="C39" s="175">
        <f>+C6</f>
        <v>0</v>
      </c>
      <c r="D39" s="176"/>
      <c r="E39" s="177"/>
    </row>
    <row r="40" spans="1:8" ht="9.9499999999999993" customHeight="1" x14ac:dyDescent="0.25">
      <c r="A40" s="172"/>
      <c r="B40" s="173"/>
      <c r="C40" s="173"/>
      <c r="D40" s="173"/>
      <c r="E40" s="174"/>
    </row>
    <row r="41" spans="1:8" ht="20.100000000000001" customHeight="1" x14ac:dyDescent="0.25">
      <c r="A41" s="184" t="s">
        <v>275</v>
      </c>
      <c r="B41" s="185"/>
      <c r="C41" s="175">
        <f>+C8</f>
        <v>0</v>
      </c>
      <c r="D41" s="176"/>
      <c r="E41" s="177"/>
    </row>
    <row r="42" spans="1:8" ht="9.9499999999999993" customHeight="1" x14ac:dyDescent="0.25">
      <c r="A42" s="172"/>
      <c r="B42" s="173"/>
      <c r="C42" s="173"/>
      <c r="D42" s="173"/>
      <c r="E42" s="174"/>
    </row>
    <row r="43" spans="1:8" ht="105.75" customHeight="1" x14ac:dyDescent="0.25">
      <c r="A43" s="186" t="s">
        <v>276</v>
      </c>
      <c r="B43" s="187"/>
      <c r="C43" s="181" t="e">
        <f>C48&amp;" "&amp;B12&amp;" für "&amp;C5&amp;", "&amp;D31&amp;" "&amp;C49&amp;" a "&amp;C47&amp;" "&amp;I31&amp;" EUR,  Vielen Dank"</f>
        <v>#DIV/0!</v>
      </c>
      <c r="D43" s="182"/>
      <c r="E43" s="183"/>
      <c r="G43" s="76"/>
    </row>
    <row r="44" spans="1:8" ht="9.9499999999999993" customHeight="1" x14ac:dyDescent="0.25">
      <c r="A44" s="172"/>
      <c r="B44" s="173"/>
      <c r="C44" s="173"/>
      <c r="D44" s="173"/>
      <c r="E44" s="174"/>
    </row>
    <row r="45" spans="1:8" ht="20.100000000000001" customHeight="1" thickBot="1" x14ac:dyDescent="0.3">
      <c r="A45" s="188" t="s">
        <v>277</v>
      </c>
      <c r="B45" s="189"/>
      <c r="C45" s="165">
        <f>+G31</f>
        <v>0</v>
      </c>
      <c r="D45" s="170"/>
      <c r="E45" s="171"/>
    </row>
    <row r="47" spans="1:8" x14ac:dyDescent="0.25">
      <c r="C47" s="89"/>
    </row>
    <row r="48" spans="1:8" x14ac:dyDescent="0.25">
      <c r="C48" s="89" t="s">
        <v>278</v>
      </c>
    </row>
    <row r="49" spans="3:3" x14ac:dyDescent="0.25">
      <c r="C49" s="89" t="s">
        <v>279</v>
      </c>
    </row>
    <row r="50" spans="3:3" x14ac:dyDescent="0.25">
      <c r="C50" s="89" t="s">
        <v>280</v>
      </c>
    </row>
    <row r="51" spans="3:3" x14ac:dyDescent="0.25">
      <c r="C51" s="89"/>
    </row>
    <row r="52" spans="3:3" x14ac:dyDescent="0.25">
      <c r="C52" s="89"/>
    </row>
    <row r="53" spans="3:3" x14ac:dyDescent="0.25">
      <c r="C53" s="164"/>
    </row>
  </sheetData>
  <sheetProtection algorithmName="SHA-512" hashValue="LzpJg0VtfSAEXQlw5SgvKNfS+4fbFcfefSznlMbXIzVt7NFyeUEvKZnR9DwnGEuY7rKovorNoA2s8G21tyJ4Wg==" saltValue="yXmbcVSw1TXWCLL65YiF9w==" spinCount="100000" sheet="1" selectLockedCells="1"/>
  <mergeCells count="39">
    <mergeCell ref="E36:H36"/>
    <mergeCell ref="B28:C28"/>
    <mergeCell ref="B29:C29"/>
    <mergeCell ref="C5:D5"/>
    <mergeCell ref="C6:D6"/>
    <mergeCell ref="C7:D7"/>
    <mergeCell ref="C8:D8"/>
    <mergeCell ref="C9:D9"/>
    <mergeCell ref="B27:C27"/>
    <mergeCell ref="B16:C16"/>
    <mergeCell ref="B17:C17"/>
    <mergeCell ref="B18:C18"/>
    <mergeCell ref="B19:C19"/>
    <mergeCell ref="B20:C20"/>
    <mergeCell ref="B21:C21"/>
    <mergeCell ref="B22:C22"/>
    <mergeCell ref="B23:C23"/>
    <mergeCell ref="B24:C24"/>
    <mergeCell ref="B25:C25"/>
    <mergeCell ref="B26:C26"/>
    <mergeCell ref="B15:C15"/>
    <mergeCell ref="E11:F11"/>
    <mergeCell ref="B11:C11"/>
    <mergeCell ref="B12:C12"/>
    <mergeCell ref="B13:C13"/>
    <mergeCell ref="B14:C14"/>
    <mergeCell ref="D45:E45"/>
    <mergeCell ref="A38:E38"/>
    <mergeCell ref="C39:E39"/>
    <mergeCell ref="A37:E37"/>
    <mergeCell ref="C43:E43"/>
    <mergeCell ref="A40:E40"/>
    <mergeCell ref="A42:E42"/>
    <mergeCell ref="A44:E44"/>
    <mergeCell ref="A39:B39"/>
    <mergeCell ref="A41:B41"/>
    <mergeCell ref="A43:B43"/>
    <mergeCell ref="A45:B45"/>
    <mergeCell ref="C41:E41"/>
  </mergeCells>
  <pageMargins left="0.70866141732283472" right="0.70866141732283472" top="0.78740157480314965" bottom="0.78740157480314965" header="0.31496062992125984" footer="0.31496062992125984"/>
  <pageSetup paperSize="9" scale="73" fitToHeight="0" orientation="portrait" horizontalDpi="900" verticalDpi="900" r:id="rId1"/>
  <headerFooter>
    <oddFooter>&amp;C&amp;P / &amp;N&amp;R&amp;F</oddFooter>
  </headerFooter>
  <rowBreaks count="1" manualBreakCount="1">
    <brk id="36" max="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588DF5E-3F86-48F7-8747-8C9AD4828342}">
          <x14:formula1>
            <xm:f>Vorgabe_ab_2023!$A$5:$A$10</xm:f>
          </x14:formula1>
          <xm:sqref>G5</xm:sqref>
        </x14:dataValidation>
        <x14:dataValidation type="list" allowBlank="1" showInputMessage="1" showErrorMessage="1" xr:uid="{E2E7DFA1-FBD6-4FBA-9052-B37663AB47E0}">
          <x14:formula1>
            <xm:f>Vorgabe_ab_2023!$A$14:$A$15</xm:f>
          </x14:formula1>
          <xm:sqref>G6 G8</xm:sqref>
        </x14:dataValidation>
        <x14:dataValidation type="list" allowBlank="1" showInputMessage="1" showErrorMessage="1" xr:uid="{37F1D7C8-26C8-4A5F-AE3D-34022511772C}">
          <x14:formula1>
            <xm:f>Vorgabe_ab_2023!$A$19:$A$22</xm:f>
          </x14:formula1>
          <xm:sqref>G7</xm:sqref>
        </x14:dataValidation>
        <x14:dataValidation type="list" allowBlank="1" showInputMessage="1" showErrorMessage="1" xr:uid="{7A910B6B-BFAB-4A3E-B4BA-43A11DDC88A0}">
          <x14:formula1>
            <xm:f>Vorgabe_ab_2023!$A$26:$A$30</xm:f>
          </x14:formula1>
          <xm:sqref>E12:E29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C0B7-76EB-49B1-A816-52D75A374A3C}">
  <sheetPr>
    <pageSetUpPr fitToPage="1"/>
  </sheetPr>
  <dimension ref="A1:V27"/>
  <sheetViews>
    <sheetView tabSelected="1" workbookViewId="0">
      <pane xSplit="2" ySplit="2" topLeftCell="C3" activePane="bottomRight" state="frozen"/>
      <selection pane="topRight" activeCell="C1" sqref="C1"/>
      <selection pane="bottomLeft" activeCell="A3" sqref="A3"/>
      <selection pane="bottomRight" activeCell="K9" sqref="K9"/>
    </sheetView>
  </sheetViews>
  <sheetFormatPr baseColWidth="10" defaultRowHeight="15" x14ac:dyDescent="0.25"/>
  <cols>
    <col min="1" max="1" width="7.140625" style="1" bestFit="1" customWidth="1"/>
    <col min="2" max="2" width="35.85546875" customWidth="1"/>
    <col min="3" max="22" width="6.7109375" customWidth="1"/>
  </cols>
  <sheetData>
    <row r="1" spans="1:22" s="217" customFormat="1" ht="26.25" x14ac:dyDescent="0.4">
      <c r="A1" s="220"/>
      <c r="B1" s="217" t="s">
        <v>289</v>
      </c>
      <c r="C1" s="218" t="s">
        <v>290</v>
      </c>
      <c r="D1" s="218"/>
      <c r="E1" s="218"/>
      <c r="F1" s="218"/>
      <c r="G1" s="218"/>
      <c r="H1" s="218"/>
      <c r="I1" s="218"/>
      <c r="J1" s="218"/>
      <c r="K1" s="218"/>
      <c r="L1" s="218"/>
      <c r="M1" s="218"/>
      <c r="N1" s="218"/>
      <c r="O1" s="218"/>
      <c r="P1" s="218"/>
      <c r="Q1" s="218"/>
      <c r="R1" s="218"/>
      <c r="S1" s="218"/>
      <c r="T1" s="218"/>
      <c r="U1" s="218"/>
      <c r="V1" s="218"/>
    </row>
    <row r="2" spans="1:22" ht="148.5" customHeight="1" x14ac:dyDescent="0.25">
      <c r="A2" s="221" t="s">
        <v>287</v>
      </c>
      <c r="B2" s="222" t="s">
        <v>288</v>
      </c>
      <c r="C2" s="223"/>
      <c r="D2" s="223"/>
      <c r="E2" s="223"/>
      <c r="F2" s="223"/>
      <c r="G2" s="223"/>
      <c r="H2" s="223"/>
      <c r="I2" s="223"/>
      <c r="J2" s="223"/>
      <c r="K2" s="223"/>
      <c r="L2" s="223"/>
      <c r="M2" s="223"/>
      <c r="N2" s="223"/>
      <c r="O2" s="223"/>
      <c r="P2" s="223"/>
      <c r="Q2" s="223"/>
      <c r="R2" s="223"/>
      <c r="S2" s="223"/>
      <c r="T2" s="223"/>
      <c r="U2" s="223"/>
      <c r="V2" s="224"/>
    </row>
    <row r="3" spans="1:22" ht="30" customHeight="1" x14ac:dyDescent="0.25">
      <c r="A3" s="228">
        <v>1</v>
      </c>
      <c r="B3" s="219"/>
      <c r="C3" s="219"/>
      <c r="D3" s="219"/>
      <c r="E3" s="219"/>
      <c r="F3" s="219"/>
      <c r="G3" s="219"/>
      <c r="H3" s="219"/>
      <c r="I3" s="219"/>
      <c r="J3" s="219"/>
      <c r="K3" s="219"/>
      <c r="L3" s="219"/>
      <c r="M3" s="219"/>
      <c r="N3" s="219"/>
      <c r="O3" s="219"/>
      <c r="P3" s="219"/>
      <c r="Q3" s="219"/>
      <c r="R3" s="219"/>
      <c r="S3" s="219"/>
      <c r="T3" s="219"/>
      <c r="U3" s="219"/>
      <c r="V3" s="225"/>
    </row>
    <row r="4" spans="1:22" ht="30" customHeight="1" x14ac:dyDescent="0.25">
      <c r="A4" s="228">
        <v>2</v>
      </c>
      <c r="B4" s="219"/>
      <c r="C4" s="219"/>
      <c r="D4" s="219"/>
      <c r="E4" s="219"/>
      <c r="F4" s="219"/>
      <c r="G4" s="219"/>
      <c r="H4" s="219"/>
      <c r="I4" s="219"/>
      <c r="J4" s="219"/>
      <c r="K4" s="219"/>
      <c r="L4" s="219"/>
      <c r="M4" s="219"/>
      <c r="N4" s="219"/>
      <c r="O4" s="219"/>
      <c r="P4" s="219"/>
      <c r="Q4" s="219"/>
      <c r="R4" s="219"/>
      <c r="S4" s="219"/>
      <c r="T4" s="219"/>
      <c r="U4" s="219"/>
      <c r="V4" s="225"/>
    </row>
    <row r="5" spans="1:22" ht="30" customHeight="1" x14ac:dyDescent="0.25">
      <c r="A5" s="228">
        <v>3</v>
      </c>
      <c r="B5" s="219"/>
      <c r="C5" s="219"/>
      <c r="D5" s="219"/>
      <c r="E5" s="219"/>
      <c r="F5" s="219"/>
      <c r="G5" s="219"/>
      <c r="H5" s="219"/>
      <c r="I5" s="219"/>
      <c r="J5" s="219"/>
      <c r="K5" s="219"/>
      <c r="L5" s="219"/>
      <c r="M5" s="219"/>
      <c r="N5" s="219"/>
      <c r="O5" s="219"/>
      <c r="P5" s="219"/>
      <c r="Q5" s="219"/>
      <c r="R5" s="219"/>
      <c r="S5" s="219"/>
      <c r="T5" s="219"/>
      <c r="U5" s="219"/>
      <c r="V5" s="225"/>
    </row>
    <row r="6" spans="1:22" ht="30" customHeight="1" x14ac:dyDescent="0.25">
      <c r="A6" s="228">
        <v>4</v>
      </c>
      <c r="B6" s="219"/>
      <c r="C6" s="219"/>
      <c r="D6" s="219"/>
      <c r="E6" s="219"/>
      <c r="F6" s="219"/>
      <c r="G6" s="219"/>
      <c r="H6" s="219"/>
      <c r="I6" s="219"/>
      <c r="J6" s="219"/>
      <c r="K6" s="219"/>
      <c r="L6" s="219"/>
      <c r="M6" s="219"/>
      <c r="N6" s="219"/>
      <c r="O6" s="219"/>
      <c r="P6" s="219"/>
      <c r="Q6" s="219"/>
      <c r="R6" s="219"/>
      <c r="S6" s="219"/>
      <c r="T6" s="219"/>
      <c r="U6" s="219"/>
      <c r="V6" s="225"/>
    </row>
    <row r="7" spans="1:22" ht="30" customHeight="1" x14ac:dyDescent="0.25">
      <c r="A7" s="228">
        <v>5</v>
      </c>
      <c r="B7" s="219"/>
      <c r="C7" s="219"/>
      <c r="D7" s="219"/>
      <c r="E7" s="219"/>
      <c r="F7" s="219"/>
      <c r="G7" s="219"/>
      <c r="H7" s="219"/>
      <c r="I7" s="219"/>
      <c r="J7" s="219"/>
      <c r="K7" s="219"/>
      <c r="L7" s="219"/>
      <c r="M7" s="219"/>
      <c r="N7" s="219"/>
      <c r="O7" s="219"/>
      <c r="P7" s="219"/>
      <c r="Q7" s="219"/>
      <c r="R7" s="219"/>
      <c r="S7" s="219"/>
      <c r="T7" s="219"/>
      <c r="U7" s="219"/>
      <c r="V7" s="225"/>
    </row>
    <row r="8" spans="1:22" ht="30" customHeight="1" x14ac:dyDescent="0.25">
      <c r="A8" s="228">
        <v>6</v>
      </c>
      <c r="B8" s="219"/>
      <c r="C8" s="219"/>
      <c r="D8" s="219"/>
      <c r="E8" s="219"/>
      <c r="F8" s="219"/>
      <c r="G8" s="219"/>
      <c r="H8" s="219"/>
      <c r="I8" s="219"/>
      <c r="J8" s="219"/>
      <c r="K8" s="219"/>
      <c r="L8" s="219"/>
      <c r="M8" s="219"/>
      <c r="N8" s="219"/>
      <c r="O8" s="219"/>
      <c r="P8" s="219"/>
      <c r="Q8" s="219"/>
      <c r="R8" s="219"/>
      <c r="S8" s="219"/>
      <c r="T8" s="219"/>
      <c r="U8" s="219"/>
      <c r="V8" s="225"/>
    </row>
    <row r="9" spans="1:22" ht="30" customHeight="1" x14ac:dyDescent="0.25">
      <c r="A9" s="228">
        <v>7</v>
      </c>
      <c r="B9" s="219"/>
      <c r="C9" s="219"/>
      <c r="D9" s="219"/>
      <c r="E9" s="219"/>
      <c r="F9" s="219"/>
      <c r="G9" s="219"/>
      <c r="H9" s="219"/>
      <c r="I9" s="219"/>
      <c r="J9" s="219"/>
      <c r="K9" s="219"/>
      <c r="L9" s="219"/>
      <c r="M9" s="219"/>
      <c r="N9" s="219"/>
      <c r="O9" s="219"/>
      <c r="P9" s="219"/>
      <c r="Q9" s="219"/>
      <c r="R9" s="219"/>
      <c r="S9" s="219"/>
      <c r="T9" s="219"/>
      <c r="U9" s="219"/>
      <c r="V9" s="225"/>
    </row>
    <row r="10" spans="1:22" ht="30" customHeight="1" x14ac:dyDescent="0.25">
      <c r="A10" s="228">
        <v>8</v>
      </c>
      <c r="B10" s="219"/>
      <c r="C10" s="219"/>
      <c r="D10" s="219"/>
      <c r="E10" s="219"/>
      <c r="F10" s="219"/>
      <c r="G10" s="219"/>
      <c r="H10" s="219"/>
      <c r="I10" s="219"/>
      <c r="J10" s="219"/>
      <c r="K10" s="219"/>
      <c r="L10" s="219"/>
      <c r="M10" s="219"/>
      <c r="N10" s="219"/>
      <c r="O10" s="219"/>
      <c r="P10" s="219"/>
      <c r="Q10" s="219"/>
      <c r="R10" s="219"/>
      <c r="S10" s="219"/>
      <c r="T10" s="219"/>
      <c r="U10" s="219"/>
      <c r="V10" s="225"/>
    </row>
    <row r="11" spans="1:22" ht="30" customHeight="1" x14ac:dyDescent="0.25">
      <c r="A11" s="228">
        <v>9</v>
      </c>
      <c r="B11" s="219"/>
      <c r="C11" s="219"/>
      <c r="D11" s="219"/>
      <c r="E11" s="219"/>
      <c r="F11" s="219"/>
      <c r="G11" s="219"/>
      <c r="H11" s="219"/>
      <c r="I11" s="219"/>
      <c r="J11" s="219"/>
      <c r="K11" s="219"/>
      <c r="L11" s="219"/>
      <c r="M11" s="219"/>
      <c r="N11" s="219"/>
      <c r="O11" s="219"/>
      <c r="P11" s="219"/>
      <c r="Q11" s="219"/>
      <c r="R11" s="219"/>
      <c r="S11" s="219"/>
      <c r="T11" s="219"/>
      <c r="U11" s="219"/>
      <c r="V11" s="225"/>
    </row>
    <row r="12" spans="1:22" ht="30" customHeight="1" x14ac:dyDescent="0.25">
      <c r="A12" s="228">
        <v>10</v>
      </c>
      <c r="B12" s="219"/>
      <c r="C12" s="219"/>
      <c r="D12" s="219"/>
      <c r="E12" s="219"/>
      <c r="F12" s="219"/>
      <c r="G12" s="219"/>
      <c r="H12" s="219"/>
      <c r="I12" s="219"/>
      <c r="J12" s="219"/>
      <c r="K12" s="219"/>
      <c r="L12" s="219"/>
      <c r="M12" s="219"/>
      <c r="N12" s="219"/>
      <c r="O12" s="219"/>
      <c r="P12" s="219"/>
      <c r="Q12" s="219"/>
      <c r="R12" s="219"/>
      <c r="S12" s="219"/>
      <c r="T12" s="219"/>
      <c r="U12" s="219"/>
      <c r="V12" s="225"/>
    </row>
    <row r="13" spans="1:22" ht="30" customHeight="1" x14ac:dyDescent="0.25">
      <c r="A13" s="228">
        <v>11</v>
      </c>
      <c r="B13" s="219"/>
      <c r="C13" s="219"/>
      <c r="D13" s="219"/>
      <c r="E13" s="219"/>
      <c r="F13" s="219"/>
      <c r="G13" s="219"/>
      <c r="H13" s="219"/>
      <c r="I13" s="219"/>
      <c r="J13" s="219"/>
      <c r="K13" s="219"/>
      <c r="L13" s="219"/>
      <c r="M13" s="219"/>
      <c r="N13" s="219"/>
      <c r="O13" s="219"/>
      <c r="P13" s="219"/>
      <c r="Q13" s="219"/>
      <c r="R13" s="219"/>
      <c r="S13" s="219"/>
      <c r="T13" s="219"/>
      <c r="U13" s="219"/>
      <c r="V13" s="225"/>
    </row>
    <row r="14" spans="1:22" ht="30" customHeight="1" x14ac:dyDescent="0.25">
      <c r="A14" s="228">
        <v>12</v>
      </c>
      <c r="B14" s="219"/>
      <c r="C14" s="219"/>
      <c r="D14" s="219"/>
      <c r="E14" s="219"/>
      <c r="F14" s="219"/>
      <c r="G14" s="219"/>
      <c r="H14" s="219"/>
      <c r="I14" s="219"/>
      <c r="J14" s="219"/>
      <c r="K14" s="219"/>
      <c r="L14" s="219"/>
      <c r="M14" s="219"/>
      <c r="N14" s="219"/>
      <c r="O14" s="219"/>
      <c r="P14" s="219"/>
      <c r="Q14" s="219"/>
      <c r="R14" s="219"/>
      <c r="S14" s="219"/>
      <c r="T14" s="219"/>
      <c r="U14" s="219"/>
      <c r="V14" s="225"/>
    </row>
    <row r="15" spans="1:22" ht="30" customHeight="1" x14ac:dyDescent="0.25">
      <c r="A15" s="228">
        <v>13</v>
      </c>
      <c r="B15" s="219"/>
      <c r="C15" s="219"/>
      <c r="D15" s="219"/>
      <c r="E15" s="219"/>
      <c r="F15" s="219"/>
      <c r="G15" s="219"/>
      <c r="H15" s="219"/>
      <c r="I15" s="219"/>
      <c r="J15" s="219"/>
      <c r="K15" s="219"/>
      <c r="L15" s="219"/>
      <c r="M15" s="219"/>
      <c r="N15" s="219"/>
      <c r="O15" s="219"/>
      <c r="P15" s="219"/>
      <c r="Q15" s="219"/>
      <c r="R15" s="219"/>
      <c r="S15" s="219"/>
      <c r="T15" s="219"/>
      <c r="U15" s="219"/>
      <c r="V15" s="225"/>
    </row>
    <row r="16" spans="1:22" ht="30" customHeight="1" x14ac:dyDescent="0.25">
      <c r="A16" s="228">
        <v>14</v>
      </c>
      <c r="B16" s="219"/>
      <c r="C16" s="219"/>
      <c r="D16" s="219"/>
      <c r="E16" s="219"/>
      <c r="F16" s="219"/>
      <c r="G16" s="219"/>
      <c r="H16" s="219"/>
      <c r="I16" s="219"/>
      <c r="J16" s="219"/>
      <c r="K16" s="219"/>
      <c r="L16" s="219"/>
      <c r="M16" s="219"/>
      <c r="N16" s="219"/>
      <c r="O16" s="219"/>
      <c r="P16" s="219"/>
      <c r="Q16" s="219"/>
      <c r="R16" s="219"/>
      <c r="S16" s="219"/>
      <c r="T16" s="219"/>
      <c r="U16" s="219"/>
      <c r="V16" s="225"/>
    </row>
    <row r="17" spans="1:22" ht="30" customHeight="1" x14ac:dyDescent="0.25">
      <c r="A17" s="228">
        <v>15</v>
      </c>
      <c r="B17" s="219"/>
      <c r="C17" s="219"/>
      <c r="D17" s="219"/>
      <c r="E17" s="219"/>
      <c r="F17" s="219"/>
      <c r="G17" s="219"/>
      <c r="H17" s="219"/>
      <c r="I17" s="219"/>
      <c r="J17" s="219"/>
      <c r="K17" s="219"/>
      <c r="L17" s="219"/>
      <c r="M17" s="219"/>
      <c r="N17" s="219"/>
      <c r="O17" s="219"/>
      <c r="P17" s="219"/>
      <c r="Q17" s="219"/>
      <c r="R17" s="219"/>
      <c r="S17" s="219"/>
      <c r="T17" s="219"/>
      <c r="U17" s="219"/>
      <c r="V17" s="225"/>
    </row>
    <row r="18" spans="1:22" ht="30" customHeight="1" x14ac:dyDescent="0.25">
      <c r="A18" s="228">
        <v>16</v>
      </c>
      <c r="B18" s="219"/>
      <c r="C18" s="219"/>
      <c r="D18" s="219"/>
      <c r="E18" s="219"/>
      <c r="F18" s="219"/>
      <c r="G18" s="219"/>
      <c r="H18" s="219"/>
      <c r="I18" s="219"/>
      <c r="J18" s="219"/>
      <c r="K18" s="219"/>
      <c r="L18" s="219"/>
      <c r="M18" s="219"/>
      <c r="N18" s="219"/>
      <c r="O18" s="219"/>
      <c r="P18" s="219"/>
      <c r="Q18" s="219"/>
      <c r="R18" s="219"/>
      <c r="S18" s="219"/>
      <c r="T18" s="219"/>
      <c r="U18" s="219"/>
      <c r="V18" s="225"/>
    </row>
    <row r="19" spans="1:22" ht="30" customHeight="1" x14ac:dyDescent="0.25">
      <c r="A19" s="228">
        <v>17</v>
      </c>
      <c r="B19" s="219"/>
      <c r="C19" s="219"/>
      <c r="D19" s="219"/>
      <c r="E19" s="219"/>
      <c r="F19" s="219"/>
      <c r="G19" s="219"/>
      <c r="H19" s="219"/>
      <c r="I19" s="219"/>
      <c r="J19" s="219"/>
      <c r="K19" s="219"/>
      <c r="L19" s="219"/>
      <c r="M19" s="219"/>
      <c r="N19" s="219"/>
      <c r="O19" s="219"/>
      <c r="P19" s="219"/>
      <c r="Q19" s="219"/>
      <c r="R19" s="219"/>
      <c r="S19" s="219"/>
      <c r="T19" s="219"/>
      <c r="U19" s="219"/>
      <c r="V19" s="225"/>
    </row>
    <row r="20" spans="1:22" ht="30" customHeight="1" x14ac:dyDescent="0.25">
      <c r="A20" s="228">
        <v>18</v>
      </c>
      <c r="B20" s="219"/>
      <c r="C20" s="219"/>
      <c r="D20" s="219"/>
      <c r="E20" s="219"/>
      <c r="F20" s="219"/>
      <c r="G20" s="219"/>
      <c r="H20" s="219"/>
      <c r="I20" s="219"/>
      <c r="J20" s="219"/>
      <c r="K20" s="219"/>
      <c r="L20" s="219"/>
      <c r="M20" s="219"/>
      <c r="N20" s="219"/>
      <c r="O20" s="219"/>
      <c r="P20" s="219"/>
      <c r="Q20" s="219"/>
      <c r="R20" s="219"/>
      <c r="S20" s="219"/>
      <c r="T20" s="219"/>
      <c r="U20" s="219"/>
      <c r="V20" s="225"/>
    </row>
    <row r="21" spans="1:22" ht="30" customHeight="1" x14ac:dyDescent="0.25">
      <c r="A21" s="228">
        <v>19</v>
      </c>
      <c r="B21" s="219"/>
      <c r="C21" s="219"/>
      <c r="D21" s="219"/>
      <c r="E21" s="219"/>
      <c r="F21" s="219"/>
      <c r="G21" s="219"/>
      <c r="H21" s="219"/>
      <c r="I21" s="219"/>
      <c r="J21" s="219"/>
      <c r="K21" s="219"/>
      <c r="L21" s="219"/>
      <c r="M21" s="219"/>
      <c r="N21" s="219"/>
      <c r="O21" s="219"/>
      <c r="P21" s="219"/>
      <c r="Q21" s="219"/>
      <c r="R21" s="219"/>
      <c r="S21" s="219"/>
      <c r="T21" s="219"/>
      <c r="U21" s="219"/>
      <c r="V21" s="225"/>
    </row>
    <row r="22" spans="1:22" ht="30" customHeight="1" x14ac:dyDescent="0.25">
      <c r="A22" s="228">
        <v>20</v>
      </c>
      <c r="B22" s="219"/>
      <c r="C22" s="219"/>
      <c r="D22" s="219"/>
      <c r="E22" s="219"/>
      <c r="F22" s="219"/>
      <c r="G22" s="219"/>
      <c r="H22" s="219"/>
      <c r="I22" s="219"/>
      <c r="J22" s="219"/>
      <c r="K22" s="219"/>
      <c r="L22" s="219"/>
      <c r="M22" s="219"/>
      <c r="N22" s="219"/>
      <c r="O22" s="219"/>
      <c r="P22" s="219"/>
      <c r="Q22" s="219"/>
      <c r="R22" s="219"/>
      <c r="S22" s="219"/>
      <c r="T22" s="219"/>
      <c r="U22" s="219"/>
      <c r="V22" s="225"/>
    </row>
    <row r="23" spans="1:22" ht="30" customHeight="1" x14ac:dyDescent="0.25">
      <c r="A23" s="228">
        <v>21</v>
      </c>
      <c r="B23" s="219"/>
      <c r="C23" s="219"/>
      <c r="D23" s="219"/>
      <c r="E23" s="219"/>
      <c r="F23" s="219"/>
      <c r="G23" s="219"/>
      <c r="H23" s="219"/>
      <c r="I23" s="219"/>
      <c r="J23" s="219"/>
      <c r="K23" s="219"/>
      <c r="L23" s="219"/>
      <c r="M23" s="219"/>
      <c r="N23" s="219"/>
      <c r="O23" s="219"/>
      <c r="P23" s="219"/>
      <c r="Q23" s="219"/>
      <c r="R23" s="219"/>
      <c r="S23" s="219"/>
      <c r="T23" s="219"/>
      <c r="U23" s="219"/>
      <c r="V23" s="225"/>
    </row>
    <row r="24" spans="1:22" ht="30" customHeight="1" x14ac:dyDescent="0.25">
      <c r="A24" s="228">
        <v>22</v>
      </c>
      <c r="B24" s="219"/>
      <c r="C24" s="219"/>
      <c r="D24" s="219"/>
      <c r="E24" s="219"/>
      <c r="F24" s="219"/>
      <c r="G24" s="219"/>
      <c r="H24" s="219"/>
      <c r="I24" s="219"/>
      <c r="J24" s="219"/>
      <c r="K24" s="219"/>
      <c r="L24" s="219"/>
      <c r="M24" s="219"/>
      <c r="N24" s="219"/>
      <c r="O24" s="219"/>
      <c r="P24" s="219"/>
      <c r="Q24" s="219"/>
      <c r="R24" s="219"/>
      <c r="S24" s="219"/>
      <c r="T24" s="219"/>
      <c r="U24" s="219"/>
      <c r="V24" s="225"/>
    </row>
    <row r="25" spans="1:22" ht="30" customHeight="1" x14ac:dyDescent="0.25">
      <c r="A25" s="228">
        <v>23</v>
      </c>
      <c r="B25" s="219"/>
      <c r="C25" s="219"/>
      <c r="D25" s="219"/>
      <c r="E25" s="219"/>
      <c r="F25" s="219"/>
      <c r="G25" s="219"/>
      <c r="H25" s="219"/>
      <c r="I25" s="219"/>
      <c r="J25" s="219"/>
      <c r="K25" s="219"/>
      <c r="L25" s="219"/>
      <c r="M25" s="219"/>
      <c r="N25" s="219"/>
      <c r="O25" s="219"/>
      <c r="P25" s="219"/>
      <c r="Q25" s="219"/>
      <c r="R25" s="219"/>
      <c r="S25" s="219"/>
      <c r="T25" s="219"/>
      <c r="U25" s="219"/>
      <c r="V25" s="225"/>
    </row>
    <row r="26" spans="1:22" ht="30" customHeight="1" x14ac:dyDescent="0.25">
      <c r="A26" s="228">
        <v>24</v>
      </c>
      <c r="B26" s="219"/>
      <c r="C26" s="219"/>
      <c r="D26" s="219"/>
      <c r="E26" s="219"/>
      <c r="F26" s="219"/>
      <c r="G26" s="219"/>
      <c r="H26" s="219"/>
      <c r="I26" s="219"/>
      <c r="J26" s="219"/>
      <c r="K26" s="219"/>
      <c r="L26" s="219"/>
      <c r="M26" s="219"/>
      <c r="N26" s="219"/>
      <c r="O26" s="219"/>
      <c r="P26" s="219"/>
      <c r="Q26" s="219"/>
      <c r="R26" s="219"/>
      <c r="S26" s="219"/>
      <c r="T26" s="219"/>
      <c r="U26" s="219"/>
      <c r="V26" s="225"/>
    </row>
    <row r="27" spans="1:22" ht="30" customHeight="1" x14ac:dyDescent="0.25">
      <c r="A27" s="229">
        <v>25</v>
      </c>
      <c r="B27" s="226"/>
      <c r="C27" s="226"/>
      <c r="D27" s="226"/>
      <c r="E27" s="226"/>
      <c r="F27" s="226"/>
      <c r="G27" s="226"/>
      <c r="H27" s="226"/>
      <c r="I27" s="226"/>
      <c r="J27" s="226"/>
      <c r="K27" s="226"/>
      <c r="L27" s="226"/>
      <c r="M27" s="226"/>
      <c r="N27" s="226"/>
      <c r="O27" s="226"/>
      <c r="P27" s="226"/>
      <c r="Q27" s="226"/>
      <c r="R27" s="226"/>
      <c r="S27" s="226"/>
      <c r="T27" s="226"/>
      <c r="U27" s="226"/>
      <c r="V27" s="227"/>
    </row>
  </sheetData>
  <mergeCells count="1">
    <mergeCell ref="C1:V1"/>
  </mergeCells>
  <pageMargins left="0.70866141732283472" right="0.70866141732283472" top="0.39370078740157483" bottom="0.39370078740157483" header="0.31496062992125984" footer="0.31496062992125984"/>
  <pageSetup paperSize="9" scale="59" fitToHeight="0" orientation="landscape" horizontalDpi="0" verticalDpi="0" r:id="rId1"/>
  <headerFooter>
    <oddFooter>&amp;LSTV Artlenburg von 1875 e.V.&amp;R&amp;F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61B7-39AB-46B3-AB50-41F69FEF149F}">
  <dimension ref="A1:CA46"/>
  <sheetViews>
    <sheetView view="pageBreakPreview" zoomScale="60" zoomScaleNormal="100" workbookViewId="0">
      <pane xSplit="4" ySplit="4" topLeftCell="E5" activePane="bottomRight" state="frozen"/>
      <selection pane="topRight" activeCell="D1" sqref="D1"/>
      <selection pane="bottomLeft" activeCell="A5" sqref="A5"/>
      <selection pane="bottomRight" activeCell="A11" sqref="A11"/>
    </sheetView>
  </sheetViews>
  <sheetFormatPr baseColWidth="10" defaultColWidth="11.42578125" defaultRowHeight="15" x14ac:dyDescent="0.25"/>
  <cols>
    <col min="1" max="1" width="35.85546875" bestFit="1" customWidth="1"/>
    <col min="2" max="2" width="11.7109375" customWidth="1"/>
    <col min="3" max="4" width="11.7109375" style="25" customWidth="1"/>
    <col min="5" max="5" width="7.42578125" bestFit="1" customWidth="1"/>
    <col min="6" max="6" width="26.7109375" hidden="1" customWidth="1"/>
    <col min="7" max="7" width="12" style="25" hidden="1" customWidth="1"/>
    <col min="8" max="8" width="6.5703125" hidden="1" customWidth="1"/>
    <col min="9" max="9" width="0" hidden="1" customWidth="1"/>
    <col min="10" max="10" width="7.140625" hidden="1" customWidth="1"/>
    <col min="11" max="11" width="0" hidden="1" customWidth="1"/>
    <col min="12" max="12" width="12" hidden="1" customWidth="1"/>
    <col min="13" max="14" width="0" hidden="1" customWidth="1"/>
    <col min="18" max="18" width="1" customWidth="1"/>
    <col min="22" max="22" width="1" customWidth="1"/>
    <col min="26" max="26" width="1" customWidth="1"/>
    <col min="30" max="30" width="1" customWidth="1"/>
    <col min="34" max="34" width="1" customWidth="1"/>
    <col min="38" max="38" width="1" customWidth="1"/>
    <col min="42" max="42" width="1" customWidth="1"/>
    <col min="46" max="46" width="1" customWidth="1"/>
    <col min="50" max="50" width="1" customWidth="1"/>
    <col min="54" max="54" width="1" customWidth="1"/>
    <col min="55" max="56" width="0" hidden="1" customWidth="1"/>
    <col min="57" max="57" width="1" hidden="1" customWidth="1"/>
    <col min="58" max="59" width="0" hidden="1" customWidth="1"/>
    <col min="60" max="60" width="1" hidden="1" customWidth="1"/>
    <col min="64" max="64" width="1" customWidth="1"/>
    <col min="68" max="68" width="1" customWidth="1"/>
    <col min="72" max="72" width="1" customWidth="1"/>
    <col min="76" max="76" width="1" customWidth="1"/>
    <col min="80" max="80" width="1" customWidth="1"/>
  </cols>
  <sheetData>
    <row r="1" spans="1:79" ht="40.15" customHeight="1" x14ac:dyDescent="0.25">
      <c r="A1" s="200" t="s">
        <v>75</v>
      </c>
      <c r="B1" s="200"/>
      <c r="C1" s="200"/>
      <c r="D1" s="201"/>
      <c r="F1" s="200" t="s">
        <v>76</v>
      </c>
      <c r="G1" s="201"/>
      <c r="O1">
        <v>1.5</v>
      </c>
      <c r="P1">
        <v>1.5</v>
      </c>
      <c r="Q1">
        <v>1.5</v>
      </c>
      <c r="S1">
        <v>1</v>
      </c>
      <c r="T1">
        <v>1</v>
      </c>
      <c r="U1">
        <v>0</v>
      </c>
      <c r="W1">
        <v>1</v>
      </c>
      <c r="X1">
        <v>0</v>
      </c>
      <c r="Y1">
        <v>0</v>
      </c>
      <c r="AA1">
        <v>1</v>
      </c>
      <c r="AB1">
        <v>1</v>
      </c>
      <c r="AC1">
        <v>1</v>
      </c>
      <c r="AE1">
        <v>1</v>
      </c>
      <c r="AF1">
        <v>0</v>
      </c>
      <c r="AG1">
        <v>0</v>
      </c>
      <c r="AI1">
        <v>1</v>
      </c>
      <c r="AJ1">
        <v>1</v>
      </c>
      <c r="AK1">
        <v>0</v>
      </c>
      <c r="AM1">
        <v>1</v>
      </c>
      <c r="AN1">
        <v>0</v>
      </c>
      <c r="AO1">
        <v>0</v>
      </c>
      <c r="AQ1">
        <v>0</v>
      </c>
      <c r="AR1">
        <v>2</v>
      </c>
      <c r="AS1">
        <v>2</v>
      </c>
      <c r="AU1">
        <v>2</v>
      </c>
      <c r="AV1">
        <v>2</v>
      </c>
      <c r="AW1">
        <v>2</v>
      </c>
      <c r="AY1">
        <v>1</v>
      </c>
      <c r="AZ1">
        <v>0</v>
      </c>
      <c r="BA1">
        <v>0</v>
      </c>
      <c r="BI1">
        <v>0</v>
      </c>
      <c r="BJ1">
        <v>1</v>
      </c>
      <c r="BK1">
        <v>1</v>
      </c>
      <c r="BM1">
        <v>0</v>
      </c>
      <c r="BN1">
        <v>1</v>
      </c>
      <c r="BO1">
        <v>1</v>
      </c>
      <c r="BQ1">
        <v>0</v>
      </c>
      <c r="BR1">
        <v>1</v>
      </c>
      <c r="BS1">
        <v>1</v>
      </c>
      <c r="BU1">
        <v>0</v>
      </c>
      <c r="BV1">
        <v>1</v>
      </c>
      <c r="BW1">
        <v>1</v>
      </c>
      <c r="BY1">
        <v>0</v>
      </c>
      <c r="BZ1">
        <v>1</v>
      </c>
      <c r="CA1">
        <v>1</v>
      </c>
    </row>
    <row r="2" spans="1:79" ht="28.5" customHeight="1" x14ac:dyDescent="0.25">
      <c r="O2" s="199" t="s">
        <v>268</v>
      </c>
      <c r="P2" s="167"/>
      <c r="Q2" s="167"/>
      <c r="S2" s="199" t="s">
        <v>267</v>
      </c>
      <c r="T2" s="167"/>
      <c r="U2" s="167"/>
      <c r="W2" s="199" t="s">
        <v>266</v>
      </c>
      <c r="X2" s="167"/>
      <c r="Y2" s="167"/>
      <c r="AA2" s="199" t="s">
        <v>265</v>
      </c>
      <c r="AB2" s="167"/>
      <c r="AC2" s="167"/>
      <c r="AE2" s="199" t="s">
        <v>264</v>
      </c>
      <c r="AF2" s="167"/>
      <c r="AG2" s="167"/>
      <c r="AI2" s="199" t="s">
        <v>263</v>
      </c>
      <c r="AJ2" s="167"/>
      <c r="AK2" s="167"/>
      <c r="AM2" s="199" t="s">
        <v>262</v>
      </c>
      <c r="AN2" s="167"/>
      <c r="AO2" s="167"/>
      <c r="AQ2" s="199" t="s">
        <v>261</v>
      </c>
      <c r="AR2" s="167"/>
      <c r="AS2" s="167"/>
      <c r="AU2" s="199" t="s">
        <v>260</v>
      </c>
      <c r="AV2" s="167"/>
      <c r="AW2" s="167"/>
      <c r="AY2" s="167" t="s">
        <v>10</v>
      </c>
      <c r="AZ2" s="167"/>
      <c r="BA2" s="167"/>
      <c r="BC2" s="167" t="s">
        <v>11</v>
      </c>
      <c r="BD2" s="167"/>
      <c r="BF2" s="167" t="s">
        <v>77</v>
      </c>
      <c r="BG2" s="167"/>
      <c r="BI2" s="199" t="s">
        <v>259</v>
      </c>
      <c r="BJ2" s="167"/>
      <c r="BK2" s="167"/>
      <c r="BM2" s="199" t="s">
        <v>269</v>
      </c>
      <c r="BN2" s="167"/>
      <c r="BO2" s="167"/>
      <c r="BQ2" s="199" t="s">
        <v>272</v>
      </c>
      <c r="BR2" s="167"/>
      <c r="BS2" s="167"/>
      <c r="BU2" s="199" t="s">
        <v>270</v>
      </c>
      <c r="BV2" s="167"/>
      <c r="BW2" s="167"/>
      <c r="BY2" s="199" t="s">
        <v>271</v>
      </c>
      <c r="BZ2" s="167"/>
      <c r="CA2" s="167"/>
    </row>
    <row r="3" spans="1:79" s="1" customFormat="1" ht="45" x14ac:dyDescent="0.25">
      <c r="A3" s="28" t="s">
        <v>78</v>
      </c>
      <c r="B3" s="29" t="s">
        <v>79</v>
      </c>
      <c r="C3" s="29" t="s">
        <v>80</v>
      </c>
      <c r="D3" s="29" t="s">
        <v>254</v>
      </c>
      <c r="F3" s="28" t="s">
        <v>81</v>
      </c>
      <c r="G3" s="30" t="s">
        <v>82</v>
      </c>
      <c r="O3" s="29" t="s">
        <v>79</v>
      </c>
      <c r="P3" s="29" t="s">
        <v>80</v>
      </c>
      <c r="Q3" s="29" t="s">
        <v>254</v>
      </c>
      <c r="S3" s="29" t="s">
        <v>79</v>
      </c>
      <c r="T3" s="29" t="s">
        <v>80</v>
      </c>
      <c r="U3" s="29" t="s">
        <v>254</v>
      </c>
      <c r="W3" s="29" t="s">
        <v>79</v>
      </c>
      <c r="X3" s="29" t="s">
        <v>80</v>
      </c>
      <c r="Y3" s="29" t="s">
        <v>254</v>
      </c>
      <c r="AA3" s="29" t="s">
        <v>79</v>
      </c>
      <c r="AB3" s="29" t="s">
        <v>80</v>
      </c>
      <c r="AC3" s="29" t="s">
        <v>254</v>
      </c>
      <c r="AE3" s="29" t="s">
        <v>79</v>
      </c>
      <c r="AF3" s="29" t="s">
        <v>80</v>
      </c>
      <c r="AG3" s="29" t="s">
        <v>254</v>
      </c>
      <c r="AI3" s="29" t="s">
        <v>79</v>
      </c>
      <c r="AJ3" s="29" t="s">
        <v>80</v>
      </c>
      <c r="AK3" s="29" t="s">
        <v>254</v>
      </c>
      <c r="AM3" s="29" t="s">
        <v>79</v>
      </c>
      <c r="AN3" s="29" t="s">
        <v>80</v>
      </c>
      <c r="AO3" s="29" t="s">
        <v>254</v>
      </c>
      <c r="AQ3" s="29" t="s">
        <v>79</v>
      </c>
      <c r="AR3" s="29" t="s">
        <v>80</v>
      </c>
      <c r="AS3" s="29" t="s">
        <v>254</v>
      </c>
      <c r="AU3" s="29" t="s">
        <v>79</v>
      </c>
      <c r="AV3" s="29" t="s">
        <v>80</v>
      </c>
      <c r="AW3" s="29" t="s">
        <v>254</v>
      </c>
      <c r="AY3" s="29" t="s">
        <v>79</v>
      </c>
      <c r="AZ3" s="29" t="s">
        <v>80</v>
      </c>
      <c r="BA3" s="29" t="s">
        <v>254</v>
      </c>
      <c r="BC3" s="29" t="s">
        <v>79</v>
      </c>
      <c r="BD3" s="29" t="s">
        <v>80</v>
      </c>
      <c r="BF3" s="29" t="s">
        <v>79</v>
      </c>
      <c r="BG3" s="29" t="s">
        <v>80</v>
      </c>
      <c r="BI3" s="29" t="s">
        <v>79</v>
      </c>
      <c r="BJ3" s="29" t="s">
        <v>80</v>
      </c>
      <c r="BK3" s="29" t="s">
        <v>254</v>
      </c>
      <c r="BM3" s="29" t="s">
        <v>79</v>
      </c>
      <c r="BN3" s="29" t="s">
        <v>80</v>
      </c>
      <c r="BO3" s="29" t="s">
        <v>254</v>
      </c>
      <c r="BQ3" s="29" t="s">
        <v>79</v>
      </c>
      <c r="BR3" s="29" t="s">
        <v>80</v>
      </c>
      <c r="BS3" s="29" t="s">
        <v>254</v>
      </c>
      <c r="BU3" s="29" t="s">
        <v>79</v>
      </c>
      <c r="BV3" s="29" t="s">
        <v>80</v>
      </c>
      <c r="BW3" s="29" t="s">
        <v>254</v>
      </c>
      <c r="BY3" s="29" t="s">
        <v>79</v>
      </c>
      <c r="BZ3" s="29" t="s">
        <v>80</v>
      </c>
      <c r="CA3" s="29" t="s">
        <v>254</v>
      </c>
    </row>
    <row r="4" spans="1:79" s="1" customFormat="1" x14ac:dyDescent="0.25">
      <c r="A4" s="28"/>
      <c r="B4" s="29"/>
      <c r="C4" s="29"/>
      <c r="D4" s="29"/>
      <c r="F4" s="28"/>
      <c r="G4" s="30"/>
      <c r="O4" s="157">
        <f>SUM(O5:O35)</f>
        <v>9</v>
      </c>
      <c r="P4" s="157">
        <f>SUM(P5:P35)</f>
        <v>10</v>
      </c>
      <c r="Q4" s="157">
        <f>SUM(Q5:Q35)</f>
        <v>16</v>
      </c>
      <c r="S4" s="157">
        <f>SUM(S5:S35)</f>
        <v>8.5</v>
      </c>
      <c r="T4" s="157">
        <f>SUM(T5:T35)</f>
        <v>9.5</v>
      </c>
      <c r="U4" s="157">
        <f>SUM(U5:U35)</f>
        <v>15.5</v>
      </c>
      <c r="W4" s="157">
        <f>SUM(W5:W35)</f>
        <v>10</v>
      </c>
      <c r="X4" s="157">
        <f>SUM(X5:X35)</f>
        <v>11.5</v>
      </c>
      <c r="Y4" s="157">
        <f>SUM(Y5:Y35)</f>
        <v>20.5</v>
      </c>
      <c r="AA4" s="157">
        <f>SUM(AA5:AA35)</f>
        <v>9</v>
      </c>
      <c r="AB4" s="157">
        <f>SUM(AB5:AB35)</f>
        <v>10.5</v>
      </c>
      <c r="AC4" s="157">
        <f>SUM(AC5:AC35)</f>
        <v>19.5</v>
      </c>
      <c r="AE4" s="157">
        <f>SUM(AE5:AE35)</f>
        <v>10</v>
      </c>
      <c r="AF4" s="157">
        <f>SUM(AF5:AF35)</f>
        <v>11.5</v>
      </c>
      <c r="AG4" s="157">
        <f>SUM(AG5:AG35)</f>
        <v>20.5</v>
      </c>
      <c r="AI4" s="157">
        <f>SUM(AI5:AI35)</f>
        <v>10</v>
      </c>
      <c r="AJ4" s="157">
        <f>SUM(AJ5:AJ35)</f>
        <v>11.5</v>
      </c>
      <c r="AK4" s="157">
        <f>SUM(AK5:AK35)</f>
        <v>20.5</v>
      </c>
      <c r="AM4" s="157">
        <f>SUM(AM5:AM35)</f>
        <v>9</v>
      </c>
      <c r="AN4" s="157">
        <f>SUM(AN5:AN35)</f>
        <v>10.5</v>
      </c>
      <c r="AO4" s="157">
        <f>SUM(AO5:AO35)</f>
        <v>19</v>
      </c>
      <c r="AQ4" s="157">
        <f>SUM(AQ5:AQ35)</f>
        <v>8</v>
      </c>
      <c r="AR4" s="157">
        <f>SUM(AR5:AR35)</f>
        <v>9</v>
      </c>
      <c r="AS4" s="157">
        <f>SUM(AS5:AS35)</f>
        <v>14.5</v>
      </c>
      <c r="AU4" s="157">
        <f>SUM(AU5:AU35)</f>
        <v>8.5</v>
      </c>
      <c r="AV4" s="157">
        <f>SUM(AV5:AV35)</f>
        <v>10</v>
      </c>
      <c r="AW4" s="157">
        <f>SUM(AW5:AW35)</f>
        <v>18</v>
      </c>
      <c r="AY4" s="157">
        <f>SUM(AY5:AY35)</f>
        <v>5</v>
      </c>
      <c r="AZ4" s="157">
        <f>SUM(AZ5:AZ35)</f>
        <v>5.5</v>
      </c>
      <c r="BA4" s="157">
        <f>SUM(BA5:BA35)</f>
        <v>6.5</v>
      </c>
      <c r="BC4" s="157">
        <f>SUM(BC5:BC35)</f>
        <v>5.5</v>
      </c>
      <c r="BD4" s="157">
        <f>SUM(BD5:BD35)</f>
        <v>7.5</v>
      </c>
      <c r="BF4" s="157">
        <f>SUM(BF5:BF35)</f>
        <v>3</v>
      </c>
      <c r="BG4" s="157">
        <f>SUM(BG5:BG35)</f>
        <v>6</v>
      </c>
      <c r="BI4" s="157">
        <f>SUM(BI5:BI35)</f>
        <v>0</v>
      </c>
      <c r="BJ4" s="157">
        <f>SUM(BJ5:BJ35)</f>
        <v>11</v>
      </c>
      <c r="BK4" s="157">
        <f>SUM(BK5:BK35)</f>
        <v>19</v>
      </c>
      <c r="BM4" s="157">
        <f>SUM(BM5:BM35)</f>
        <v>0</v>
      </c>
      <c r="BN4" s="157">
        <f>SUM(BN5:BN35)</f>
        <v>11.5</v>
      </c>
      <c r="BO4" s="157">
        <f>SUM(BO5:BO35)</f>
        <v>20</v>
      </c>
      <c r="BQ4" s="157">
        <f>SUM(BQ5:BQ35)</f>
        <v>0</v>
      </c>
      <c r="BR4" s="157">
        <f>SUM(BR5:BR35)</f>
        <v>11.5</v>
      </c>
      <c r="BS4" s="157">
        <f>SUM(BS5:BS35)</f>
        <v>20</v>
      </c>
      <c r="BU4" s="157">
        <f>SUM(BU5:BU35)</f>
        <v>0</v>
      </c>
      <c r="BV4" s="157">
        <f>SUM(BV5:BV35)</f>
        <v>5.5</v>
      </c>
      <c r="BW4" s="157">
        <f>SUM(BW5:BW35)</f>
        <v>6.5</v>
      </c>
      <c r="BY4" s="157">
        <f>SUM(BY5:BY35)</f>
        <v>0</v>
      </c>
      <c r="BZ4" s="157">
        <f>SUM(BZ5:BZ35)</f>
        <v>0</v>
      </c>
      <c r="CA4" s="157">
        <f>SUM(CA5:CA35)</f>
        <v>17.5</v>
      </c>
    </row>
    <row r="5" spans="1:79" x14ac:dyDescent="0.25">
      <c r="A5" t="s">
        <v>282</v>
      </c>
      <c r="B5" s="123">
        <v>3</v>
      </c>
      <c r="C5" s="26">
        <v>3</v>
      </c>
      <c r="D5" s="26">
        <v>4</v>
      </c>
      <c r="F5" s="1" t="s">
        <v>83</v>
      </c>
      <c r="G5" s="31">
        <v>10</v>
      </c>
      <c r="AY5" s="78">
        <f>+$B$5</f>
        <v>3</v>
      </c>
      <c r="AZ5" s="78">
        <f>+$C$5</f>
        <v>3</v>
      </c>
      <c r="BA5" s="78">
        <f>+$D$5</f>
        <v>4</v>
      </c>
      <c r="BC5" s="78">
        <f>+$B$5</f>
        <v>3</v>
      </c>
      <c r="BD5" s="78">
        <f>+$D$5</f>
        <v>4</v>
      </c>
      <c r="BF5" s="78"/>
      <c r="BG5" s="78"/>
      <c r="BI5" s="78"/>
      <c r="BJ5" s="78"/>
      <c r="BK5" s="78"/>
      <c r="BM5" s="78"/>
      <c r="BN5" s="78"/>
      <c r="BO5" s="78"/>
      <c r="BQ5" s="78"/>
      <c r="BR5" s="78"/>
      <c r="BS5" s="78"/>
      <c r="BU5" s="78"/>
      <c r="BV5" s="78">
        <f>+$C$5</f>
        <v>3</v>
      </c>
      <c r="BW5" s="78">
        <f>+$D$5</f>
        <v>4</v>
      </c>
      <c r="BY5" s="78"/>
      <c r="BZ5" s="78"/>
      <c r="CA5" s="78"/>
    </row>
    <row r="6" spans="1:79" x14ac:dyDescent="0.25">
      <c r="A6" t="s">
        <v>283</v>
      </c>
      <c r="B6" s="123">
        <v>3</v>
      </c>
      <c r="C6" s="26">
        <v>4.5</v>
      </c>
      <c r="D6" s="26">
        <v>5</v>
      </c>
      <c r="F6" s="1" t="s">
        <v>84</v>
      </c>
      <c r="G6" s="31">
        <v>30</v>
      </c>
      <c r="BF6" s="78">
        <f>+B6</f>
        <v>3</v>
      </c>
    </row>
    <row r="7" spans="1:79" x14ac:dyDescent="0.25">
      <c r="A7" t="s">
        <v>285</v>
      </c>
      <c r="B7" s="26">
        <v>3.5</v>
      </c>
      <c r="C7" s="26">
        <v>5</v>
      </c>
      <c r="D7" s="26">
        <v>6</v>
      </c>
      <c r="F7" s="1" t="s">
        <v>84</v>
      </c>
      <c r="G7" s="31">
        <v>30</v>
      </c>
      <c r="BG7" s="78">
        <f>+D7</f>
        <v>6</v>
      </c>
    </row>
    <row r="8" spans="1:79" x14ac:dyDescent="0.25">
      <c r="A8" t="s">
        <v>13</v>
      </c>
      <c r="B8" s="26">
        <v>4.5</v>
      </c>
      <c r="C8" s="26">
        <f>C5+2</f>
        <v>5</v>
      </c>
      <c r="D8" s="26">
        <v>10</v>
      </c>
      <c r="F8" s="1"/>
      <c r="G8" s="1"/>
      <c r="O8" s="78">
        <f>+$B$8</f>
        <v>4.5</v>
      </c>
      <c r="P8" s="78">
        <f>+$C$8</f>
        <v>5</v>
      </c>
      <c r="Q8" s="78">
        <f>+$D$8</f>
        <v>10</v>
      </c>
      <c r="S8" s="78">
        <f>+$B$8</f>
        <v>4.5</v>
      </c>
      <c r="T8" s="78">
        <f>+$C$8</f>
        <v>5</v>
      </c>
      <c r="U8" s="78">
        <f>+$D$8</f>
        <v>10</v>
      </c>
      <c r="W8" s="78">
        <f>+$B$8</f>
        <v>4.5</v>
      </c>
      <c r="X8" s="78">
        <f>+$C$8</f>
        <v>5</v>
      </c>
      <c r="Y8" s="78">
        <f>+$D$8</f>
        <v>10</v>
      </c>
      <c r="AA8" s="78">
        <f>+$B$8</f>
        <v>4.5</v>
      </c>
      <c r="AB8" s="78">
        <f>+$C$8</f>
        <v>5</v>
      </c>
      <c r="AC8" s="78">
        <f>+$D$8</f>
        <v>10</v>
      </c>
      <c r="AE8" s="78">
        <f>+$B$8</f>
        <v>4.5</v>
      </c>
      <c r="AF8" s="78">
        <f>+$C$8</f>
        <v>5</v>
      </c>
      <c r="AG8" s="78">
        <f>+$D$8</f>
        <v>10</v>
      </c>
      <c r="AI8" s="78">
        <f>+$B$8</f>
        <v>4.5</v>
      </c>
      <c r="AJ8" s="78">
        <f>+$C$8</f>
        <v>5</v>
      </c>
      <c r="AK8" s="78">
        <f>+$D$8</f>
        <v>10</v>
      </c>
      <c r="AM8" s="78">
        <f>+$B$8</f>
        <v>4.5</v>
      </c>
      <c r="AN8" s="78">
        <f>+$C$8</f>
        <v>5</v>
      </c>
      <c r="AO8" s="78">
        <f>+$D$8</f>
        <v>10</v>
      </c>
      <c r="AQ8" s="78">
        <f>+$B$8</f>
        <v>4.5</v>
      </c>
      <c r="AR8" s="78">
        <f>+$C$8</f>
        <v>5</v>
      </c>
      <c r="AS8" s="78">
        <f>+$D$8</f>
        <v>10</v>
      </c>
      <c r="AU8" s="78">
        <f>+$B$8</f>
        <v>4.5</v>
      </c>
      <c r="AV8" s="78">
        <f>+$C$8</f>
        <v>5</v>
      </c>
      <c r="AW8" s="78">
        <f>+$D$8</f>
        <v>10</v>
      </c>
      <c r="AY8" s="78"/>
      <c r="AZ8" s="78"/>
      <c r="BA8" s="78"/>
      <c r="BC8" s="78"/>
      <c r="BD8" s="78"/>
      <c r="BF8" s="78"/>
      <c r="BG8" s="78"/>
      <c r="BI8" s="78"/>
      <c r="BJ8" s="78">
        <f>+$C$8</f>
        <v>5</v>
      </c>
      <c r="BK8" s="78">
        <f>+$D$8</f>
        <v>10</v>
      </c>
      <c r="BM8" s="78"/>
      <c r="BN8" s="78">
        <f>+$C$8</f>
        <v>5</v>
      </c>
      <c r="BO8" s="78">
        <f>+$D$8</f>
        <v>10</v>
      </c>
      <c r="BQ8" s="78"/>
      <c r="BR8" s="78">
        <f>+$C$8</f>
        <v>5</v>
      </c>
      <c r="BS8" s="78">
        <f>+$D$8</f>
        <v>10</v>
      </c>
      <c r="BU8" s="78"/>
      <c r="BV8" s="78"/>
      <c r="BW8" s="78"/>
      <c r="BY8" s="78"/>
      <c r="BZ8" s="78"/>
      <c r="CA8" s="78">
        <f>+$D$8</f>
        <v>10</v>
      </c>
    </row>
    <row r="9" spans="1:79" x14ac:dyDescent="0.25">
      <c r="A9" t="s">
        <v>85</v>
      </c>
      <c r="B9" s="26">
        <v>5</v>
      </c>
      <c r="C9" s="26">
        <f>C8+0.5</f>
        <v>5.5</v>
      </c>
      <c r="D9" s="26">
        <v>11</v>
      </c>
      <c r="F9" s="28" t="s">
        <v>86</v>
      </c>
      <c r="G9" s="30"/>
    </row>
    <row r="10" spans="1:79" x14ac:dyDescent="0.25">
      <c r="A10" t="s">
        <v>87</v>
      </c>
      <c r="B10" s="26">
        <v>5.5</v>
      </c>
      <c r="C10" s="26">
        <f>C9+0.5</f>
        <v>6</v>
      </c>
      <c r="D10" s="26">
        <v>12</v>
      </c>
      <c r="F10" s="1" t="s">
        <v>83</v>
      </c>
      <c r="G10" s="31">
        <f>+G5</f>
        <v>10</v>
      </c>
    </row>
    <row r="11" spans="1:79" x14ac:dyDescent="0.25">
      <c r="C11" s="26"/>
      <c r="D11" s="26"/>
      <c r="F11" s="1" t="s">
        <v>84</v>
      </c>
      <c r="G11" s="31">
        <f>G7/2</f>
        <v>15</v>
      </c>
    </row>
    <row r="12" spans="1:79" x14ac:dyDescent="0.25">
      <c r="C12" s="26"/>
      <c r="D12" s="26"/>
      <c r="F12" s="1"/>
      <c r="G12" s="1"/>
    </row>
    <row r="13" spans="1:79" x14ac:dyDescent="0.25">
      <c r="A13" s="28" t="s">
        <v>88</v>
      </c>
      <c r="B13" s="28"/>
      <c r="C13" s="29"/>
      <c r="D13" s="29"/>
      <c r="F13" s="1"/>
      <c r="G13" s="1"/>
    </row>
    <row r="14" spans="1:79" x14ac:dyDescent="0.25">
      <c r="A14" t="s">
        <v>15</v>
      </c>
      <c r="B14" s="78">
        <v>0</v>
      </c>
      <c r="C14" s="26">
        <v>0</v>
      </c>
      <c r="D14" s="26">
        <v>0</v>
      </c>
      <c r="F14" s="1" t="s">
        <v>89</v>
      </c>
      <c r="G14" s="1"/>
      <c r="I14">
        <v>2019</v>
      </c>
      <c r="O14" s="78">
        <f>+$B$14</f>
        <v>0</v>
      </c>
      <c r="P14" s="78">
        <f>+$C$14</f>
        <v>0</v>
      </c>
      <c r="Q14" s="78">
        <f>+$D$14</f>
        <v>0</v>
      </c>
      <c r="S14" s="78">
        <f>+$B$14</f>
        <v>0</v>
      </c>
      <c r="T14" s="78">
        <f>+$C$14</f>
        <v>0</v>
      </c>
      <c r="U14" s="78">
        <f>+$D$14</f>
        <v>0</v>
      </c>
      <c r="W14" s="78"/>
      <c r="X14" s="78"/>
      <c r="Y14" s="78"/>
      <c r="AA14" s="78"/>
      <c r="AB14" s="78"/>
      <c r="AC14" s="78"/>
      <c r="AE14" s="78"/>
      <c r="AF14" s="78"/>
      <c r="AG14" s="78"/>
      <c r="AI14" s="78"/>
      <c r="AJ14" s="78"/>
      <c r="AK14" s="78"/>
      <c r="AM14" s="78"/>
      <c r="AN14" s="78"/>
      <c r="AO14" s="78"/>
      <c r="AQ14" s="78">
        <f>+$B$14</f>
        <v>0</v>
      </c>
      <c r="AR14" s="78">
        <f>+$C$14</f>
        <v>0</v>
      </c>
      <c r="AS14" s="78">
        <f>+$D$14</f>
        <v>0</v>
      </c>
      <c r="AU14" s="78"/>
      <c r="AV14" s="78"/>
      <c r="AW14" s="78"/>
      <c r="AY14" s="78">
        <f>+$B$14</f>
        <v>0</v>
      </c>
      <c r="AZ14" s="78">
        <f>+$C$14</f>
        <v>0</v>
      </c>
      <c r="BA14" s="78">
        <f>+$D$14</f>
        <v>0</v>
      </c>
      <c r="BC14" s="78">
        <f>+$B$14</f>
        <v>0</v>
      </c>
      <c r="BD14" s="78">
        <f>+$D$14</f>
        <v>0</v>
      </c>
      <c r="BF14" s="78"/>
      <c r="BG14" s="78"/>
      <c r="BI14" s="78"/>
      <c r="BJ14" s="78"/>
      <c r="BK14" s="78"/>
      <c r="BM14" s="78"/>
      <c r="BN14" s="78"/>
      <c r="BO14" s="78"/>
      <c r="BQ14" s="78"/>
      <c r="BR14" s="78"/>
      <c r="BS14" s="78"/>
      <c r="BU14" s="78"/>
      <c r="BV14" s="78">
        <f>+$C$14</f>
        <v>0</v>
      </c>
      <c r="BW14" s="78">
        <f>+$D$14</f>
        <v>0</v>
      </c>
      <c r="BY14" s="78"/>
      <c r="BZ14" s="78"/>
      <c r="CA14" s="78"/>
    </row>
    <row r="15" spans="1:79" ht="15.75" thickBot="1" x14ac:dyDescent="0.3">
      <c r="A15" t="s">
        <v>16</v>
      </c>
      <c r="B15" s="78">
        <v>1.5</v>
      </c>
      <c r="C15" s="26">
        <v>2</v>
      </c>
      <c r="D15" s="26">
        <v>5</v>
      </c>
      <c r="F15" s="51" t="s">
        <v>34</v>
      </c>
      <c r="G15" s="13">
        <f>+Berechnung_2019!C23</f>
        <v>7910</v>
      </c>
      <c r="H15">
        <v>11</v>
      </c>
      <c r="I15" s="78">
        <v>7910</v>
      </c>
      <c r="J15" s="82">
        <f>(G15/I15)-1</f>
        <v>0</v>
      </c>
      <c r="K15" s="65">
        <f>G15-I15</f>
        <v>0</v>
      </c>
      <c r="L15" s="78"/>
      <c r="W15" s="78">
        <f>+$B$15</f>
        <v>1.5</v>
      </c>
      <c r="X15" s="78">
        <f>+$C$15</f>
        <v>2</v>
      </c>
      <c r="Y15" s="78">
        <f>+$D$15</f>
        <v>5</v>
      </c>
      <c r="AA15" s="78">
        <f>+$B$15</f>
        <v>1.5</v>
      </c>
      <c r="AB15" s="78">
        <f>+$C$15</f>
        <v>2</v>
      </c>
      <c r="AC15" s="78">
        <f>+$D$15</f>
        <v>5</v>
      </c>
      <c r="AE15" s="78">
        <f>+$B$15</f>
        <v>1.5</v>
      </c>
      <c r="AF15" s="78">
        <f>+$C$15</f>
        <v>2</v>
      </c>
      <c r="AG15" s="78">
        <f>+$D$15</f>
        <v>5</v>
      </c>
      <c r="AI15" s="78">
        <f>+$B$15</f>
        <v>1.5</v>
      </c>
      <c r="AJ15" s="78">
        <f>+$C$15</f>
        <v>2</v>
      </c>
      <c r="AK15" s="78">
        <f>+$D$15</f>
        <v>5</v>
      </c>
      <c r="AM15" s="78">
        <f>+$B$15</f>
        <v>1.5</v>
      </c>
      <c r="AN15" s="78">
        <f>+$C$15</f>
        <v>2</v>
      </c>
      <c r="AO15" s="78">
        <f>+$D$15</f>
        <v>5</v>
      </c>
      <c r="AQ15" s="78"/>
      <c r="AR15" s="78"/>
      <c r="AS15" s="78"/>
      <c r="AU15" s="78">
        <f>+$B$15</f>
        <v>1.5</v>
      </c>
      <c r="AV15" s="78">
        <f>+$C$15</f>
        <v>2</v>
      </c>
      <c r="AW15" s="78">
        <f>+$D$15</f>
        <v>5</v>
      </c>
      <c r="AY15" s="78"/>
      <c r="AZ15" s="78"/>
      <c r="BA15" s="78"/>
      <c r="BC15" s="78"/>
      <c r="BD15" s="78"/>
      <c r="BF15" s="78"/>
      <c r="BG15" s="78"/>
      <c r="BI15" s="78"/>
      <c r="BJ15" s="78">
        <f>+$C$15</f>
        <v>2</v>
      </c>
      <c r="BK15" s="78">
        <f>+$D$15</f>
        <v>5</v>
      </c>
      <c r="BM15" s="78"/>
      <c r="BN15" s="78">
        <f>+$C$15</f>
        <v>2</v>
      </c>
      <c r="BO15" s="78">
        <f>+$D$15</f>
        <v>5</v>
      </c>
      <c r="BQ15" s="78"/>
      <c r="BR15" s="78">
        <f>+$C$15</f>
        <v>2</v>
      </c>
      <c r="BS15" s="78">
        <f>+$D$15</f>
        <v>5</v>
      </c>
      <c r="BU15" s="78"/>
      <c r="BV15" s="78"/>
      <c r="BW15" s="78"/>
      <c r="BY15" s="78"/>
      <c r="BZ15" s="78"/>
      <c r="CA15" s="78">
        <f>+$D$15</f>
        <v>5</v>
      </c>
    </row>
    <row r="16" spans="1:79" ht="15.75" thickTop="1" x14ac:dyDescent="0.25">
      <c r="C16" s="26"/>
      <c r="D16" s="26"/>
      <c r="F16" s="1"/>
      <c r="G16" s="1"/>
    </row>
    <row r="17" spans="1:79" x14ac:dyDescent="0.25">
      <c r="F17" s="1" t="s">
        <v>49</v>
      </c>
      <c r="G17" s="1"/>
    </row>
    <row r="18" spans="1:79" ht="15.75" thickBot="1" x14ac:dyDescent="0.3">
      <c r="A18" s="28" t="s">
        <v>90</v>
      </c>
      <c r="B18" s="28"/>
      <c r="C18" s="29"/>
      <c r="D18" s="29"/>
      <c r="F18" s="51" t="s">
        <v>34</v>
      </c>
      <c r="G18" s="13">
        <f>+Trainer2019!H6</f>
        <v>3132.25</v>
      </c>
      <c r="H18">
        <v>3</v>
      </c>
      <c r="I18" s="78">
        <v>1540</v>
      </c>
      <c r="J18" s="82">
        <f>(G18/I18)-1</f>
        <v>1.0339285714285715</v>
      </c>
      <c r="K18" s="65">
        <f>G18-I18</f>
        <v>1592.25</v>
      </c>
    </row>
    <row r="19" spans="1:79" ht="15.75" thickTop="1" x14ac:dyDescent="0.25">
      <c r="A19" t="s">
        <v>20</v>
      </c>
      <c r="B19" s="78">
        <v>0.5</v>
      </c>
      <c r="C19" s="27">
        <v>0.5</v>
      </c>
      <c r="D19" s="27">
        <v>0.5</v>
      </c>
      <c r="F19" s="1"/>
      <c r="G19" s="1"/>
      <c r="AY19" s="78">
        <f>+$B$19</f>
        <v>0.5</v>
      </c>
      <c r="AZ19" s="78">
        <f>+$C$19</f>
        <v>0.5</v>
      </c>
      <c r="BA19" s="78">
        <f>+$D$19</f>
        <v>0.5</v>
      </c>
      <c r="BC19" s="78">
        <f>+$B$19</f>
        <v>0.5</v>
      </c>
      <c r="BD19" s="78"/>
      <c r="BF19" s="78"/>
      <c r="BG19" s="78"/>
      <c r="BI19" s="78"/>
      <c r="BJ19" s="78"/>
      <c r="BM19" s="78"/>
      <c r="BN19" s="78"/>
      <c r="BQ19" s="78"/>
      <c r="BR19" s="78"/>
      <c r="BU19" s="78"/>
      <c r="BV19" s="78">
        <f>+$C$19</f>
        <v>0.5</v>
      </c>
      <c r="BW19" s="78">
        <f>+$D$19</f>
        <v>0.5</v>
      </c>
      <c r="BY19" s="78"/>
      <c r="BZ19" s="78"/>
      <c r="CA19" s="65">
        <f>+$D$19</f>
        <v>0.5</v>
      </c>
    </row>
    <row r="20" spans="1:79" x14ac:dyDescent="0.25">
      <c r="A20" t="s">
        <v>19</v>
      </c>
      <c r="B20" s="78">
        <v>1</v>
      </c>
      <c r="C20" s="26">
        <f>C19+0.5</f>
        <v>1</v>
      </c>
      <c r="D20" s="26">
        <f>D19+0.5</f>
        <v>1</v>
      </c>
      <c r="G20"/>
      <c r="AU20" s="78">
        <f>+$B$20</f>
        <v>1</v>
      </c>
      <c r="AV20" s="78">
        <f>+$C$20</f>
        <v>1</v>
      </c>
      <c r="AW20" s="78">
        <f>+$D$20</f>
        <v>1</v>
      </c>
      <c r="AY20" s="78"/>
      <c r="AZ20" s="78"/>
      <c r="BA20" s="78"/>
      <c r="BC20" s="78"/>
      <c r="BD20" s="78">
        <f>+$D$20</f>
        <v>1</v>
      </c>
      <c r="BF20" s="78"/>
      <c r="BG20" s="78"/>
      <c r="BI20" s="78"/>
      <c r="BJ20" s="78"/>
      <c r="BK20" s="78"/>
      <c r="BM20" s="78"/>
      <c r="BN20" s="78"/>
      <c r="BO20" s="78"/>
      <c r="BQ20" s="78"/>
      <c r="BR20" s="78"/>
      <c r="BS20" s="78"/>
      <c r="BU20" s="78"/>
      <c r="BV20" s="78"/>
      <c r="BW20" s="78"/>
      <c r="BY20" s="78"/>
      <c r="BZ20" s="78"/>
      <c r="CA20" s="78"/>
    </row>
    <row r="21" spans="1:79" ht="15.75" thickBot="1" x14ac:dyDescent="0.3">
      <c r="A21" t="s">
        <v>18</v>
      </c>
      <c r="B21" s="78">
        <v>1.5</v>
      </c>
      <c r="C21" s="26">
        <f>C20+0.5</f>
        <v>1.5</v>
      </c>
      <c r="D21" s="26">
        <v>2</v>
      </c>
      <c r="F21" t="s">
        <v>91</v>
      </c>
      <c r="G21" s="13">
        <f>+G15+G18</f>
        <v>11042.25</v>
      </c>
      <c r="I21" s="78">
        <v>8680</v>
      </c>
      <c r="J21" s="82">
        <f>(G21/I21)-1</f>
        <v>0.27214861751152064</v>
      </c>
      <c r="K21" s="65">
        <f>G21-I21</f>
        <v>2362.25</v>
      </c>
      <c r="AM21" s="78">
        <f>+$B$21</f>
        <v>1.5</v>
      </c>
      <c r="AN21" s="78">
        <f>+$C$21</f>
        <v>1.5</v>
      </c>
      <c r="AO21" s="78">
        <f>+$D$21</f>
        <v>2</v>
      </c>
      <c r="AQ21" s="78">
        <f>+$B$21</f>
        <v>1.5</v>
      </c>
      <c r="AR21" s="78">
        <f>+$C$21</f>
        <v>1.5</v>
      </c>
      <c r="AS21" s="78">
        <f>+$D$21</f>
        <v>2</v>
      </c>
      <c r="AU21" s="78"/>
      <c r="AV21" s="78"/>
      <c r="AW21" s="78"/>
      <c r="AY21" s="78"/>
      <c r="AZ21" s="78"/>
      <c r="BA21" s="78"/>
      <c r="BC21" s="78"/>
      <c r="BD21" s="78"/>
      <c r="BF21" s="78"/>
      <c r="BG21" s="78"/>
      <c r="BI21" s="78"/>
      <c r="BJ21" s="78">
        <f>+$C$21</f>
        <v>1.5</v>
      </c>
      <c r="BK21" s="78">
        <f>+$D$21</f>
        <v>2</v>
      </c>
      <c r="BM21" s="78"/>
      <c r="BN21" s="78"/>
      <c r="BO21" s="78"/>
      <c r="BQ21" s="78"/>
      <c r="BR21" s="78"/>
      <c r="BS21" s="78"/>
      <c r="BU21" s="78"/>
      <c r="BV21" s="78"/>
      <c r="BW21" s="78"/>
      <c r="BY21" s="78"/>
      <c r="BZ21" s="78"/>
      <c r="CA21" s="78"/>
    </row>
    <row r="22" spans="1:79" ht="15.75" thickTop="1" x14ac:dyDescent="0.25">
      <c r="A22" t="s">
        <v>17</v>
      </c>
      <c r="B22" s="78">
        <v>2</v>
      </c>
      <c r="C22" s="26">
        <f>C21+0.5</f>
        <v>2</v>
      </c>
      <c r="D22" s="26">
        <v>3</v>
      </c>
      <c r="F22" s="1"/>
      <c r="G22" s="1"/>
      <c r="O22" s="78">
        <f>+$B$22</f>
        <v>2</v>
      </c>
      <c r="P22" s="78">
        <f>+$C$22</f>
        <v>2</v>
      </c>
      <c r="Q22" s="78">
        <f>+$D$22</f>
        <v>3</v>
      </c>
      <c r="S22" s="78">
        <f>+$B$22</f>
        <v>2</v>
      </c>
      <c r="T22" s="78">
        <f>+$C$22</f>
        <v>2</v>
      </c>
      <c r="U22" s="78">
        <f>+$D$22</f>
        <v>3</v>
      </c>
      <c r="W22" s="78">
        <f>+$B$22</f>
        <v>2</v>
      </c>
      <c r="X22" s="78">
        <f>+$C$22</f>
        <v>2</v>
      </c>
      <c r="Y22" s="78">
        <f>+$D$22</f>
        <v>3</v>
      </c>
      <c r="AA22" s="78">
        <f>+$B$22</f>
        <v>2</v>
      </c>
      <c r="AB22" s="78">
        <f>+$C$22</f>
        <v>2</v>
      </c>
      <c r="AC22" s="78">
        <f>+$D$22</f>
        <v>3</v>
      </c>
      <c r="AE22" s="78">
        <f>+$B$22</f>
        <v>2</v>
      </c>
      <c r="AF22" s="78">
        <f>+$C$22</f>
        <v>2</v>
      </c>
      <c r="AG22" s="78">
        <f>+$D$22</f>
        <v>3</v>
      </c>
      <c r="AI22" s="78">
        <f>+$B$22</f>
        <v>2</v>
      </c>
      <c r="AJ22" s="78">
        <f>+$C$22</f>
        <v>2</v>
      </c>
      <c r="AK22" s="78">
        <f>+$D$22</f>
        <v>3</v>
      </c>
      <c r="AM22" s="78"/>
      <c r="AN22" s="78"/>
      <c r="AO22" s="78"/>
      <c r="AQ22" s="78"/>
      <c r="AR22" s="78"/>
      <c r="AS22" s="78"/>
      <c r="AU22" s="78"/>
      <c r="AV22" s="78"/>
      <c r="AW22" s="78"/>
      <c r="AY22" s="78"/>
      <c r="AZ22" s="78"/>
      <c r="BA22" s="78"/>
      <c r="BC22" s="78"/>
      <c r="BD22" s="78"/>
      <c r="BF22" s="78"/>
      <c r="BG22" s="78"/>
      <c r="BI22" s="78"/>
      <c r="BJ22" s="78"/>
      <c r="BK22" s="78"/>
      <c r="BM22" s="78"/>
      <c r="BN22" s="78">
        <f>+$C$22</f>
        <v>2</v>
      </c>
      <c r="BO22" s="78">
        <f>+$D$22</f>
        <v>3</v>
      </c>
      <c r="BQ22" s="78"/>
      <c r="BR22" s="78">
        <f>+$C$22</f>
        <v>2</v>
      </c>
      <c r="BS22" s="78">
        <f>+$D$22</f>
        <v>3</v>
      </c>
      <c r="BU22" s="78"/>
      <c r="BV22" s="78"/>
      <c r="BW22" s="78"/>
      <c r="BY22" s="78"/>
      <c r="BZ22" s="78"/>
      <c r="CA22" s="78"/>
    </row>
    <row r="23" spans="1:79" x14ac:dyDescent="0.25">
      <c r="B23" s="78"/>
      <c r="G23"/>
    </row>
    <row r="24" spans="1:79" x14ac:dyDescent="0.25">
      <c r="B24" s="78"/>
      <c r="G24"/>
    </row>
    <row r="25" spans="1:79" x14ac:dyDescent="0.25">
      <c r="A25" s="28" t="s">
        <v>92</v>
      </c>
      <c r="B25" s="83"/>
      <c r="C25" s="29"/>
      <c r="D25" s="29"/>
      <c r="G25"/>
    </row>
    <row r="26" spans="1:79" x14ac:dyDescent="0.25">
      <c r="A26" t="s">
        <v>71</v>
      </c>
      <c r="B26" s="78">
        <v>0.5</v>
      </c>
      <c r="C26" s="26">
        <v>1</v>
      </c>
      <c r="D26" s="26">
        <v>1</v>
      </c>
      <c r="G26"/>
    </row>
    <row r="27" spans="1:79" x14ac:dyDescent="0.25">
      <c r="A27" t="s">
        <v>23</v>
      </c>
      <c r="B27" s="78">
        <v>1</v>
      </c>
      <c r="C27" s="26">
        <f t="shared" ref="C27:D30" si="0">C26+0.5</f>
        <v>1.5</v>
      </c>
      <c r="D27" s="26">
        <f t="shared" si="0"/>
        <v>1.5</v>
      </c>
      <c r="G27"/>
      <c r="AA27" s="78">
        <f>+$B$27</f>
        <v>1</v>
      </c>
      <c r="AB27" s="78">
        <f>+$C$27</f>
        <v>1.5</v>
      </c>
      <c r="AC27" s="78">
        <f>+$D$27</f>
        <v>1.5</v>
      </c>
      <c r="AE27" s="78"/>
      <c r="AF27" s="78"/>
      <c r="AG27" s="78"/>
      <c r="AI27" s="78"/>
      <c r="AJ27" s="78"/>
      <c r="AK27" s="78"/>
      <c r="AM27" s="78"/>
      <c r="AN27" s="78"/>
      <c r="AO27" s="78"/>
      <c r="AQ27" s="78"/>
      <c r="AR27" s="78"/>
      <c r="AS27" s="78"/>
      <c r="AU27" s="78"/>
      <c r="AV27" s="78"/>
      <c r="AW27" s="78"/>
      <c r="AY27" s="78"/>
      <c r="AZ27" s="78"/>
      <c r="BA27" s="78"/>
      <c r="BC27" s="78"/>
      <c r="BD27" s="78"/>
      <c r="BF27" s="78"/>
      <c r="BG27" s="78"/>
      <c r="BI27" s="78"/>
      <c r="BJ27" s="78"/>
      <c r="BK27" s="78"/>
      <c r="BM27" s="78"/>
      <c r="BN27" s="78"/>
      <c r="BO27" s="78"/>
      <c r="BQ27" s="78"/>
      <c r="BR27" s="78"/>
      <c r="BS27" s="78"/>
      <c r="BU27" s="78"/>
      <c r="BV27" s="78"/>
      <c r="BW27" s="78"/>
      <c r="BY27" s="78"/>
      <c r="BZ27" s="78"/>
      <c r="CA27" s="78"/>
    </row>
    <row r="28" spans="1:79" x14ac:dyDescent="0.25">
      <c r="A28" t="s">
        <v>93</v>
      </c>
      <c r="B28" s="78">
        <v>1.5</v>
      </c>
      <c r="C28" s="26">
        <f t="shared" si="0"/>
        <v>2</v>
      </c>
      <c r="D28" s="26">
        <f t="shared" si="0"/>
        <v>2</v>
      </c>
      <c r="G28"/>
      <c r="AM28" s="78">
        <f>+$B$28</f>
        <v>1.5</v>
      </c>
      <c r="AN28" s="78">
        <f>+$C$28</f>
        <v>2</v>
      </c>
      <c r="AO28" s="78">
        <f>+$D$28</f>
        <v>2</v>
      </c>
      <c r="AQ28" s="78"/>
      <c r="AR28" s="78"/>
      <c r="AS28" s="78"/>
      <c r="AU28" s="78">
        <f>+$B$28</f>
        <v>1.5</v>
      </c>
      <c r="AV28" s="78">
        <f>+$C$28</f>
        <v>2</v>
      </c>
      <c r="AW28" s="78">
        <f>+$D$28</f>
        <v>2</v>
      </c>
      <c r="AY28" s="78">
        <f>+$B$28</f>
        <v>1.5</v>
      </c>
      <c r="AZ28" s="78">
        <f>+$C$28</f>
        <v>2</v>
      </c>
      <c r="BA28" s="78">
        <f>+$D$28</f>
        <v>2</v>
      </c>
      <c r="BC28" s="78"/>
      <c r="BD28" s="78"/>
      <c r="BF28" s="78"/>
      <c r="BG28" s="78"/>
      <c r="BI28" s="78"/>
      <c r="BJ28" s="78">
        <f>+$C$29</f>
        <v>2.5</v>
      </c>
      <c r="BK28" s="78">
        <f>+$D$28</f>
        <v>2</v>
      </c>
      <c r="BM28" s="78"/>
      <c r="BN28" s="78">
        <f>+$C$29</f>
        <v>2.5</v>
      </c>
      <c r="BO28" s="78">
        <f>+$D$28</f>
        <v>2</v>
      </c>
      <c r="BQ28" s="78"/>
      <c r="BR28" s="78">
        <f>+$C$29</f>
        <v>2.5</v>
      </c>
      <c r="BS28" s="78">
        <f>+$D$28</f>
        <v>2</v>
      </c>
      <c r="BU28" s="78"/>
      <c r="BV28" s="78">
        <f>+$C$28</f>
        <v>2</v>
      </c>
      <c r="BW28" s="78">
        <f>+$D$28</f>
        <v>2</v>
      </c>
      <c r="BY28" s="78"/>
      <c r="BZ28" s="78"/>
      <c r="CA28" s="78">
        <f>+$D$28</f>
        <v>2</v>
      </c>
    </row>
    <row r="29" spans="1:79" x14ac:dyDescent="0.25">
      <c r="A29" t="s">
        <v>22</v>
      </c>
      <c r="B29" s="78">
        <v>2</v>
      </c>
      <c r="C29" s="26">
        <f t="shared" si="0"/>
        <v>2.5</v>
      </c>
      <c r="D29" s="26">
        <f t="shared" si="0"/>
        <v>2.5</v>
      </c>
      <c r="G29"/>
      <c r="S29" s="78">
        <f>+$B$29</f>
        <v>2</v>
      </c>
      <c r="T29" s="78">
        <f>+$C$29</f>
        <v>2.5</v>
      </c>
      <c r="U29" s="78">
        <f>+$D$29</f>
        <v>2.5</v>
      </c>
      <c r="W29" s="78">
        <f>+$B$29</f>
        <v>2</v>
      </c>
      <c r="X29" s="78">
        <f>+$C$29</f>
        <v>2.5</v>
      </c>
      <c r="Y29" s="78">
        <f>+$D$29</f>
        <v>2.5</v>
      </c>
      <c r="AA29" s="78"/>
      <c r="AB29" s="78"/>
      <c r="AC29" s="78"/>
      <c r="AE29" s="78">
        <f>+$B$29</f>
        <v>2</v>
      </c>
      <c r="AF29" s="78">
        <f>+$C$29</f>
        <v>2.5</v>
      </c>
      <c r="AG29" s="78">
        <f>+$D$29</f>
        <v>2.5</v>
      </c>
      <c r="AI29" s="78">
        <f>+$B$29</f>
        <v>2</v>
      </c>
      <c r="AJ29" s="78">
        <f>+$C$29</f>
        <v>2.5</v>
      </c>
      <c r="AK29" s="78">
        <f>+$D$29</f>
        <v>2.5</v>
      </c>
      <c r="AM29" s="78"/>
      <c r="AN29" s="78"/>
      <c r="AO29" s="78"/>
      <c r="AQ29" s="78">
        <f>+$B$29</f>
        <v>2</v>
      </c>
      <c r="AR29" s="78">
        <f>+$C$29</f>
        <v>2.5</v>
      </c>
      <c r="AS29" s="78">
        <f>+$D$29</f>
        <v>2.5</v>
      </c>
      <c r="AU29" s="78"/>
      <c r="AV29" s="78"/>
      <c r="AW29" s="78"/>
      <c r="AY29" s="78"/>
      <c r="AZ29" s="78"/>
      <c r="BA29" s="78"/>
      <c r="BC29" s="78">
        <f>+B29</f>
        <v>2</v>
      </c>
      <c r="BD29" s="78">
        <f>+D29</f>
        <v>2.5</v>
      </c>
      <c r="BF29" s="78"/>
      <c r="BG29" s="78"/>
      <c r="BI29" s="78"/>
      <c r="BJ29" s="78"/>
      <c r="BK29" s="78"/>
      <c r="BM29" s="78"/>
      <c r="BN29" s="78"/>
      <c r="BO29" s="78"/>
      <c r="BQ29" s="78"/>
      <c r="BR29" s="78"/>
      <c r="BS29" s="78"/>
      <c r="BU29" s="78"/>
      <c r="BV29" s="78"/>
      <c r="BW29" s="78"/>
      <c r="BY29" s="78"/>
      <c r="BZ29" s="78"/>
      <c r="CA29" s="78"/>
    </row>
    <row r="30" spans="1:79" x14ac:dyDescent="0.25">
      <c r="A30" t="s">
        <v>21</v>
      </c>
      <c r="B30" s="78">
        <v>2.5</v>
      </c>
      <c r="C30" s="26">
        <f t="shared" si="0"/>
        <v>3</v>
      </c>
      <c r="D30" s="26">
        <f t="shared" si="0"/>
        <v>3</v>
      </c>
      <c r="G30"/>
      <c r="O30" s="78">
        <f>+$B$30</f>
        <v>2.5</v>
      </c>
      <c r="P30" s="78">
        <f>+$C$30</f>
        <v>3</v>
      </c>
      <c r="Q30" s="78">
        <f>+$D$30</f>
        <v>3</v>
      </c>
      <c r="S30" s="78"/>
      <c r="T30" s="78"/>
      <c r="U30" s="78"/>
      <c r="W30" s="78"/>
      <c r="X30" s="78"/>
      <c r="Y30" s="78"/>
      <c r="AA30" s="78"/>
      <c r="AB30" s="78"/>
      <c r="AC30" s="78"/>
      <c r="AE30" s="78"/>
      <c r="AF30" s="78"/>
      <c r="AG30" s="78"/>
      <c r="AI30" s="78"/>
      <c r="AJ30" s="78"/>
      <c r="AK30" s="78"/>
      <c r="AM30" s="78"/>
      <c r="AN30" s="78"/>
      <c r="AO30" s="78"/>
      <c r="AQ30" s="78"/>
      <c r="AR30" s="78"/>
      <c r="AS30" s="78"/>
      <c r="AU30" s="78"/>
      <c r="AV30" s="78"/>
      <c r="AW30" s="78"/>
      <c r="AY30" s="78"/>
      <c r="AZ30" s="78"/>
      <c r="BA30" s="78"/>
      <c r="BC30" s="78"/>
      <c r="BD30" s="78"/>
      <c r="BF30" s="78"/>
      <c r="BG30" s="78"/>
      <c r="BI30" s="78"/>
      <c r="BJ30" s="78"/>
      <c r="BK30" s="78"/>
      <c r="BM30" s="78"/>
      <c r="BN30" s="78"/>
      <c r="BO30" s="78"/>
      <c r="BQ30" s="78"/>
      <c r="BR30" s="78"/>
      <c r="BS30" s="78"/>
      <c r="BU30" s="78"/>
      <c r="BV30" s="78"/>
      <c r="BW30" s="78"/>
      <c r="BY30" s="78"/>
      <c r="BZ30" s="78"/>
      <c r="CA30" s="78"/>
    </row>
    <row r="31" spans="1:79" x14ac:dyDescent="0.25">
      <c r="B31" s="78"/>
      <c r="G31"/>
    </row>
    <row r="32" spans="1:79" x14ac:dyDescent="0.25">
      <c r="B32" s="78"/>
      <c r="F32" s="1"/>
      <c r="G32" s="1"/>
    </row>
    <row r="33" spans="1:79" x14ac:dyDescent="0.25">
      <c r="A33" s="28" t="s">
        <v>94</v>
      </c>
      <c r="B33" s="83"/>
      <c r="C33" s="29"/>
      <c r="D33" s="29"/>
      <c r="F33" s="1"/>
      <c r="G33" s="1"/>
    </row>
    <row r="34" spans="1:79" x14ac:dyDescent="0.25">
      <c r="A34" t="s">
        <v>15</v>
      </c>
      <c r="B34" s="78">
        <v>0</v>
      </c>
      <c r="C34" s="26">
        <v>0</v>
      </c>
      <c r="D34" s="26">
        <v>0</v>
      </c>
      <c r="F34" s="1"/>
      <c r="G34" s="1"/>
    </row>
    <row r="35" spans="1:79" x14ac:dyDescent="0.25">
      <c r="A35" t="s">
        <v>95</v>
      </c>
      <c r="B35" s="78">
        <v>1</v>
      </c>
      <c r="C35" s="26">
        <v>1</v>
      </c>
      <c r="D35" s="26">
        <v>2</v>
      </c>
      <c r="F35" s="1"/>
      <c r="G35" s="1"/>
    </row>
    <row r="36" spans="1:79" x14ac:dyDescent="0.25">
      <c r="B36" s="78"/>
      <c r="F36" s="1"/>
      <c r="G36" s="1"/>
    </row>
    <row r="37" spans="1:79" x14ac:dyDescent="0.25">
      <c r="B37" s="78"/>
    </row>
    <row r="38" spans="1:79" x14ac:dyDescent="0.25">
      <c r="A38" s="28" t="s">
        <v>96</v>
      </c>
      <c r="B38" s="83"/>
      <c r="C38" s="29"/>
      <c r="D38" s="29"/>
    </row>
    <row r="39" spans="1:79" x14ac:dyDescent="0.25">
      <c r="A39" s="28" t="s">
        <v>97</v>
      </c>
      <c r="B39" s="83"/>
      <c r="C39" s="29"/>
      <c r="D39" s="29"/>
    </row>
    <row r="40" spans="1:79" x14ac:dyDescent="0.25">
      <c r="A40" t="s">
        <v>49</v>
      </c>
      <c r="B40" s="78"/>
      <c r="C40" s="26"/>
      <c r="D40" s="26"/>
      <c r="E40" s="78"/>
    </row>
    <row r="41" spans="1:79" x14ac:dyDescent="0.25">
      <c r="A41" t="s">
        <v>98</v>
      </c>
      <c r="B41" s="78"/>
      <c r="C41" s="26"/>
      <c r="D41" s="26"/>
      <c r="E41" s="78"/>
    </row>
    <row r="42" spans="1:79" x14ac:dyDescent="0.25">
      <c r="B42" s="78"/>
      <c r="C42" s="26"/>
      <c r="D42" s="26"/>
      <c r="E42" s="78"/>
    </row>
    <row r="43" spans="1:79" x14ac:dyDescent="0.25">
      <c r="A43" t="s">
        <v>258</v>
      </c>
      <c r="B43" s="162" t="s">
        <v>273</v>
      </c>
      <c r="C43" s="25">
        <v>45</v>
      </c>
    </row>
    <row r="44" spans="1:79" x14ac:dyDescent="0.25">
      <c r="A44" t="s">
        <v>255</v>
      </c>
      <c r="C44" s="26">
        <f>D44*$C$43</f>
        <v>4140</v>
      </c>
      <c r="D44" s="163">
        <f>SUM(O44:CZ44)</f>
        <v>92</v>
      </c>
      <c r="O44" s="78">
        <f>O4*O1</f>
        <v>13.5</v>
      </c>
      <c r="S44" s="78">
        <f>S4*S1</f>
        <v>8.5</v>
      </c>
      <c r="W44" s="78">
        <f>W4*W1</f>
        <v>10</v>
      </c>
      <c r="AA44" s="78">
        <f>AA4*AA1</f>
        <v>9</v>
      </c>
      <c r="AE44" s="78">
        <f>AE4*AE1</f>
        <v>10</v>
      </c>
      <c r="AI44" s="78">
        <f>AI4*AI1</f>
        <v>10</v>
      </c>
      <c r="AM44" s="78">
        <f>AM4*AM1</f>
        <v>9</v>
      </c>
      <c r="AQ44" s="78">
        <f>AQ4*AQ1</f>
        <v>0</v>
      </c>
      <c r="AU44" s="78">
        <f>AU4*AU1</f>
        <v>17</v>
      </c>
      <c r="AY44" s="78">
        <f>AY4*AY1</f>
        <v>5</v>
      </c>
      <c r="BI44" s="78">
        <f>BI4*BI1</f>
        <v>0</v>
      </c>
      <c r="BM44" s="78">
        <f>BM4*BM1</f>
        <v>0</v>
      </c>
      <c r="BQ44" s="78">
        <f>BQ4*BQ1</f>
        <v>0</v>
      </c>
      <c r="BU44" s="78">
        <f>BU4*BU1</f>
        <v>0</v>
      </c>
      <c r="BY44" s="78">
        <f>BY4*BY1</f>
        <v>0</v>
      </c>
    </row>
    <row r="45" spans="1:79" x14ac:dyDescent="0.25">
      <c r="A45" t="s">
        <v>256</v>
      </c>
      <c r="C45" s="26">
        <f>D45*$C$43</f>
        <v>5580</v>
      </c>
      <c r="D45" s="163">
        <f>SUM(O45:CZ45)</f>
        <v>124</v>
      </c>
      <c r="P45" s="78">
        <f>P4*P1</f>
        <v>15</v>
      </c>
      <c r="T45" s="78">
        <f>T4*T1</f>
        <v>9.5</v>
      </c>
      <c r="X45" s="78">
        <f>X4*X1</f>
        <v>0</v>
      </c>
      <c r="AB45" s="78">
        <f>AB4*AB1</f>
        <v>10.5</v>
      </c>
      <c r="AF45" s="78">
        <f>AF4*AF1</f>
        <v>0</v>
      </c>
      <c r="AJ45" s="78">
        <f>AJ4*AJ1</f>
        <v>11.5</v>
      </c>
      <c r="AN45" s="78">
        <f>AN4*AN1</f>
        <v>0</v>
      </c>
      <c r="AR45" s="78">
        <f>AR4*AR1</f>
        <v>18</v>
      </c>
      <c r="AV45" s="78">
        <f>AV4*AV1</f>
        <v>20</v>
      </c>
      <c r="AZ45" s="78">
        <f>AZ4*AZ1</f>
        <v>0</v>
      </c>
      <c r="BJ45" s="78">
        <f>BJ4*BJ1</f>
        <v>11</v>
      </c>
      <c r="BN45" s="78">
        <f>BN4*BN1</f>
        <v>11.5</v>
      </c>
      <c r="BR45" s="78">
        <f>BR4*BR1</f>
        <v>11.5</v>
      </c>
      <c r="BV45" s="78">
        <f>BV4*BV1</f>
        <v>5.5</v>
      </c>
      <c r="BZ45" s="78">
        <f>BZ4*BZ1</f>
        <v>0</v>
      </c>
    </row>
    <row r="46" spans="1:79" x14ac:dyDescent="0.25">
      <c r="A46" t="s">
        <v>257</v>
      </c>
      <c r="C46" s="26">
        <f>D46*$C$43</f>
        <v>8617.5</v>
      </c>
      <c r="D46" s="163">
        <f>SUM(O46:CZ46)</f>
        <v>191.5</v>
      </c>
      <c r="Q46" s="78">
        <f>Q4*Q1</f>
        <v>24</v>
      </c>
      <c r="U46" s="78">
        <f>U4*U1</f>
        <v>0</v>
      </c>
      <c r="Y46" s="78">
        <f>Y4*Y1</f>
        <v>0</v>
      </c>
      <c r="AC46" s="78">
        <f>AC4*AC1</f>
        <v>19.5</v>
      </c>
      <c r="AG46" s="78">
        <f>AG4*AG1</f>
        <v>0</v>
      </c>
      <c r="AK46" s="78">
        <f>AK4*AK1</f>
        <v>0</v>
      </c>
      <c r="AO46" s="78">
        <f>AO4*AO1</f>
        <v>0</v>
      </c>
      <c r="AS46" s="78">
        <f>AS4*AS1</f>
        <v>29</v>
      </c>
      <c r="AW46" s="78">
        <f>AW4*AW1</f>
        <v>36</v>
      </c>
      <c r="BA46" s="78">
        <f>BA4*BA1</f>
        <v>0</v>
      </c>
      <c r="BK46" s="78">
        <f>BK4*BK1</f>
        <v>19</v>
      </c>
      <c r="BO46" s="78">
        <f>BO4*BO1</f>
        <v>20</v>
      </c>
      <c r="BS46" s="78">
        <f>BS4*BS1</f>
        <v>20</v>
      </c>
      <c r="BW46" s="78">
        <f>BW4*BW1</f>
        <v>6.5</v>
      </c>
      <c r="CA46" s="78">
        <f>CA4*CA1</f>
        <v>17.5</v>
      </c>
    </row>
  </sheetData>
  <sheetProtection selectLockedCells="1"/>
  <mergeCells count="19">
    <mergeCell ref="AU2:AW2"/>
    <mergeCell ref="AY2:BA2"/>
    <mergeCell ref="BC2:BD2"/>
    <mergeCell ref="BF2:BG2"/>
    <mergeCell ref="AA2:AC2"/>
    <mergeCell ref="AE2:AG2"/>
    <mergeCell ref="AI2:AK2"/>
    <mergeCell ref="AM2:AO2"/>
    <mergeCell ref="AQ2:AS2"/>
    <mergeCell ref="A1:D1"/>
    <mergeCell ref="F1:G1"/>
    <mergeCell ref="O2:Q2"/>
    <mergeCell ref="S2:U2"/>
    <mergeCell ref="W2:Y2"/>
    <mergeCell ref="BI2:BK2"/>
    <mergeCell ref="BM2:BO2"/>
    <mergeCell ref="BQ2:BS2"/>
    <mergeCell ref="BU2:BW2"/>
    <mergeCell ref="BY2:CA2"/>
  </mergeCells>
  <conditionalFormatting sqref="A5:D10">
    <cfRule type="expression" dxfId="13" priority="1">
      <formula>MOD(ROW(),2)=0</formula>
    </cfRule>
  </conditionalFormatting>
  <conditionalFormatting sqref="A14:D15 A19:D22 A26:D30 A34:D35">
    <cfRule type="expression" dxfId="12" priority="13">
      <formula>MOD(ROW(),2)=0</formula>
    </cfRule>
  </conditionalFormatting>
  <conditionalFormatting sqref="A40:D42 A43">
    <cfRule type="expression" dxfId="11" priority="8">
      <formula>MOD(ROW(),2)=0</formula>
    </cfRule>
  </conditionalFormatting>
  <conditionalFormatting sqref="F21">
    <cfRule type="expression" dxfId="10" priority="10">
      <formula>MOD(ROW(),2)=0</formula>
    </cfRule>
  </conditionalFormatting>
  <conditionalFormatting sqref="F5:G7">
    <cfRule type="expression" dxfId="9" priority="6">
      <formula>MOD(ROW(),2)=0</formula>
    </cfRule>
  </conditionalFormatting>
  <conditionalFormatting sqref="F10:G11">
    <cfRule type="expression" dxfId="8" priority="9">
      <formula>MOD(ROW(),2)=0</formula>
    </cfRule>
  </conditionalFormatting>
  <pageMargins left="0.70866141732283472" right="0.70866141732283472" top="0.78740157480314965" bottom="0.78740157480314965" header="0.31496062992125984" footer="0.31496062992125984"/>
  <pageSetup paperSize="9" scale="82" fitToWidth="0" orientation="portrait" r:id="rId1"/>
  <headerFooter>
    <oddHeader>&amp;CHonorarsätze Übungsleiter &amp; Trainer  - Vorschlag ab 2020&amp;R&amp;G</oddHeader>
    <oddFooter>&amp;L&amp;A
Stand: Dez. 2014&amp;Chttp://www.stv-artlenburg.de/&amp;RAndreas Philipp</oddFooter>
  </headerFooter>
  <colBreaks count="2" manualBreakCount="2">
    <brk id="5" max="46" man="1"/>
    <brk id="26" max="46" man="1"/>
  </colBreaks>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19A9E-91F4-4964-A900-6BE0B7068B63}">
  <sheetPr>
    <pageSetUpPr fitToPage="1"/>
  </sheetPr>
  <dimension ref="A1:U14"/>
  <sheetViews>
    <sheetView workbookViewId="0">
      <selection activeCell="L5" sqref="L5"/>
    </sheetView>
  </sheetViews>
  <sheetFormatPr baseColWidth="10" defaultColWidth="11.42578125" defaultRowHeight="15" x14ac:dyDescent="0.25"/>
  <cols>
    <col min="1" max="1" width="11.42578125" style="1"/>
    <col min="2" max="2" width="21.7109375" style="1" bestFit="1" customWidth="1"/>
    <col min="3" max="3" width="11.42578125" style="1"/>
    <col min="4" max="4" width="14.28515625" style="1" customWidth="1"/>
    <col min="5" max="5" width="15.7109375" style="1" customWidth="1"/>
    <col min="6" max="6" width="1.5703125" style="1" customWidth="1"/>
    <col min="7" max="7" width="17.28515625" style="1" customWidth="1"/>
    <col min="8" max="8" width="11.42578125" style="1"/>
    <col min="9" max="9" width="15.28515625" style="1" customWidth="1"/>
    <col min="10" max="11" width="11.42578125" style="1"/>
    <col min="12" max="12" width="11.42578125" style="31"/>
    <col min="13" max="16384" width="11.42578125" style="1"/>
  </cols>
  <sheetData>
    <row r="1" spans="1:21" ht="15.75" thickBot="1" x14ac:dyDescent="0.3">
      <c r="A1" s="86" t="s">
        <v>99</v>
      </c>
      <c r="B1" s="87"/>
      <c r="C1" s="202" t="s">
        <v>100</v>
      </c>
      <c r="D1" s="203"/>
      <c r="E1" s="204"/>
      <c r="G1" s="205" t="s">
        <v>101</v>
      </c>
      <c r="H1" s="206"/>
      <c r="I1" s="207"/>
    </row>
    <row r="2" spans="1:21" ht="30" x14ac:dyDescent="0.25">
      <c r="A2" s="86"/>
      <c r="B2" s="87"/>
      <c r="C2" s="85" t="s">
        <v>102</v>
      </c>
      <c r="D2" s="81" t="s">
        <v>103</v>
      </c>
      <c r="E2" s="88" t="s">
        <v>104</v>
      </c>
      <c r="G2" s="106" t="s">
        <v>105</v>
      </c>
      <c r="H2" s="89"/>
      <c r="I2" s="90" t="s">
        <v>106</v>
      </c>
      <c r="K2" s="210" t="s">
        <v>107</v>
      </c>
      <c r="L2" s="208"/>
      <c r="M2" s="208"/>
      <c r="N2" s="107"/>
      <c r="O2" s="208" t="s">
        <v>108</v>
      </c>
      <c r="P2" s="208"/>
      <c r="Q2" s="208"/>
      <c r="R2" s="107"/>
      <c r="S2" s="208" t="s">
        <v>109</v>
      </c>
      <c r="T2" s="208"/>
      <c r="U2" s="209"/>
    </row>
    <row r="3" spans="1:21" x14ac:dyDescent="0.25">
      <c r="A3" s="86">
        <v>1</v>
      </c>
      <c r="B3" s="87" t="s">
        <v>110</v>
      </c>
      <c r="C3" s="85">
        <v>101</v>
      </c>
      <c r="D3" s="31">
        <v>84</v>
      </c>
      <c r="E3" s="91">
        <f t="shared" ref="E3:E9" si="0">C3*D3</f>
        <v>8484</v>
      </c>
      <c r="G3" s="92">
        <v>99</v>
      </c>
      <c r="H3" s="93">
        <f>G3/12</f>
        <v>8.25</v>
      </c>
      <c r="I3" s="94">
        <f>G3*C3</f>
        <v>9999</v>
      </c>
      <c r="K3" s="108"/>
      <c r="M3" s="109">
        <v>1.6E-2</v>
      </c>
      <c r="P3" s="31"/>
      <c r="Q3" s="109">
        <v>2.776E-2</v>
      </c>
      <c r="T3" s="31"/>
      <c r="U3" s="110">
        <v>2.776E-2</v>
      </c>
    </row>
    <row r="4" spans="1:21" x14ac:dyDescent="0.25">
      <c r="A4" s="86">
        <v>3</v>
      </c>
      <c r="B4" s="87" t="s">
        <v>111</v>
      </c>
      <c r="C4" s="85">
        <v>95</v>
      </c>
      <c r="D4" s="31">
        <v>60</v>
      </c>
      <c r="E4" s="91">
        <f t="shared" si="0"/>
        <v>5700</v>
      </c>
      <c r="G4" s="92">
        <v>66</v>
      </c>
      <c r="H4" s="93">
        <f t="shared" ref="H4:H9" si="1">G4/12</f>
        <v>5.5</v>
      </c>
      <c r="I4" s="94">
        <f t="shared" ref="I4:I9" si="2">G4*C4</f>
        <v>6270</v>
      </c>
      <c r="K4" s="111">
        <v>2014</v>
      </c>
      <c r="M4" s="112">
        <f>1+M3</f>
        <v>1.016</v>
      </c>
      <c r="O4" s="68">
        <v>2014</v>
      </c>
      <c r="P4" s="31"/>
      <c r="Q4" s="112">
        <f>1+Q3</f>
        <v>1.02776</v>
      </c>
      <c r="S4" s="68">
        <v>2014</v>
      </c>
      <c r="T4" s="31"/>
      <c r="U4" s="113">
        <f>1+U3</f>
        <v>1.02776</v>
      </c>
    </row>
    <row r="5" spans="1:21" x14ac:dyDescent="0.25">
      <c r="A5" s="86">
        <v>5</v>
      </c>
      <c r="B5" s="87" t="s">
        <v>112</v>
      </c>
      <c r="C5" s="85">
        <v>25</v>
      </c>
      <c r="D5" s="31">
        <v>168</v>
      </c>
      <c r="E5" s="91">
        <f t="shared" si="0"/>
        <v>4200</v>
      </c>
      <c r="G5" s="92">
        <f>G3*2</f>
        <v>198</v>
      </c>
      <c r="H5" s="93">
        <f t="shared" si="1"/>
        <v>16.5</v>
      </c>
      <c r="I5" s="94">
        <f t="shared" si="2"/>
        <v>4950</v>
      </c>
      <c r="K5" s="108">
        <v>2015</v>
      </c>
      <c r="L5" s="114">
        <v>60</v>
      </c>
      <c r="M5" s="31">
        <f>L5*Vorgabe_ab_2023!$G$9</f>
        <v>0</v>
      </c>
      <c r="O5" s="1">
        <v>2015</v>
      </c>
      <c r="P5" s="114">
        <v>84</v>
      </c>
      <c r="Q5" s="31">
        <f>P5*Vorgabe_ab_2023!$K$9</f>
        <v>0</v>
      </c>
      <c r="S5" s="1">
        <v>2015</v>
      </c>
      <c r="T5" s="114">
        <f>2*84</f>
        <v>168</v>
      </c>
      <c r="U5" s="115">
        <f>T5*Vorgabe_ab_2023!$K$9</f>
        <v>0</v>
      </c>
    </row>
    <row r="6" spans="1:21" x14ac:dyDescent="0.25">
      <c r="A6" s="86">
        <v>8</v>
      </c>
      <c r="B6" s="87" t="s">
        <v>113</v>
      </c>
      <c r="C6" s="85">
        <v>18</v>
      </c>
      <c r="D6" s="31">
        <v>30</v>
      </c>
      <c r="E6" s="91">
        <f t="shared" si="0"/>
        <v>540</v>
      </c>
      <c r="G6" s="92">
        <f>+D6</f>
        <v>30</v>
      </c>
      <c r="H6" s="93">
        <f t="shared" si="1"/>
        <v>2.5</v>
      </c>
      <c r="I6" s="94">
        <f t="shared" si="2"/>
        <v>540</v>
      </c>
      <c r="K6" s="108">
        <v>2016</v>
      </c>
      <c r="L6" s="31">
        <f>+M5</f>
        <v>0</v>
      </c>
      <c r="M6" s="31">
        <f>L6*Vorgabe_ab_2023!$G$9</f>
        <v>0</v>
      </c>
      <c r="O6" s="1">
        <v>2016</v>
      </c>
      <c r="P6" s="31">
        <f>+Q5</f>
        <v>0</v>
      </c>
      <c r="Q6" s="31">
        <f>P6*Vorgabe_ab_2023!$K$9</f>
        <v>0</v>
      </c>
      <c r="S6" s="1">
        <v>2016</v>
      </c>
      <c r="T6" s="31">
        <f>+U5</f>
        <v>0</v>
      </c>
      <c r="U6" s="115">
        <f>T6*Vorgabe_ab_2023!$K$9</f>
        <v>0</v>
      </c>
    </row>
    <row r="7" spans="1:21" x14ac:dyDescent="0.25">
      <c r="A7" s="86">
        <v>9</v>
      </c>
      <c r="B7" s="87" t="s">
        <v>114</v>
      </c>
      <c r="C7" s="85">
        <v>61</v>
      </c>
      <c r="D7" s="31">
        <v>0</v>
      </c>
      <c r="E7" s="91">
        <f t="shared" si="0"/>
        <v>0</v>
      </c>
      <c r="G7" s="92"/>
      <c r="H7" s="93">
        <f t="shared" si="1"/>
        <v>0</v>
      </c>
      <c r="I7" s="94">
        <f t="shared" si="2"/>
        <v>0</v>
      </c>
      <c r="K7" s="108">
        <v>2017</v>
      </c>
      <c r="L7" s="31">
        <f>+M6</f>
        <v>0</v>
      </c>
      <c r="M7" s="31">
        <f>L7*Vorgabe_ab_2023!$G$9</f>
        <v>0</v>
      </c>
      <c r="O7" s="1">
        <v>2017</v>
      </c>
      <c r="P7" s="31">
        <f>+Q6</f>
        <v>0</v>
      </c>
      <c r="Q7" s="31">
        <f>P7*Vorgabe_ab_2023!$K$9</f>
        <v>0</v>
      </c>
      <c r="S7" s="1">
        <v>2017</v>
      </c>
      <c r="T7" s="31">
        <f>+U6</f>
        <v>0</v>
      </c>
      <c r="U7" s="115">
        <f>T7*Vorgabe_ab_2023!$K$9</f>
        <v>0</v>
      </c>
    </row>
    <row r="8" spans="1:21" x14ac:dyDescent="0.25">
      <c r="A8" s="86">
        <v>10</v>
      </c>
      <c r="B8" s="87" t="s">
        <v>115</v>
      </c>
      <c r="C8" s="85">
        <v>12</v>
      </c>
      <c r="D8" s="31">
        <v>0</v>
      </c>
      <c r="E8" s="91">
        <f t="shared" si="0"/>
        <v>0</v>
      </c>
      <c r="G8" s="92"/>
      <c r="H8" s="93">
        <f t="shared" si="1"/>
        <v>0</v>
      </c>
      <c r="I8" s="94">
        <f t="shared" si="2"/>
        <v>0</v>
      </c>
      <c r="K8" s="108">
        <v>2018</v>
      </c>
      <c r="L8" s="31">
        <f>+M7</f>
        <v>0</v>
      </c>
      <c r="M8" s="31">
        <f>L8*Vorgabe_ab_2023!$G$9</f>
        <v>0</v>
      </c>
      <c r="O8" s="1">
        <v>2018</v>
      </c>
      <c r="P8" s="31">
        <f>+Q7</f>
        <v>0</v>
      </c>
      <c r="Q8" s="31">
        <f>P8*Vorgabe_ab_2023!$K$9</f>
        <v>0</v>
      </c>
      <c r="S8" s="1">
        <v>2018</v>
      </c>
      <c r="T8" s="31">
        <f>+U7</f>
        <v>0</v>
      </c>
      <c r="U8" s="115">
        <f>T8*Vorgabe_ab_2023!$K$9</f>
        <v>0</v>
      </c>
    </row>
    <row r="9" spans="1:21" x14ac:dyDescent="0.25">
      <c r="A9" s="86">
        <v>11</v>
      </c>
      <c r="B9" s="87" t="s">
        <v>116</v>
      </c>
      <c r="C9" s="85">
        <v>15</v>
      </c>
      <c r="D9" s="31">
        <v>0</v>
      </c>
      <c r="E9" s="91">
        <f t="shared" si="0"/>
        <v>0</v>
      </c>
      <c r="G9" s="92"/>
      <c r="H9" s="93">
        <f t="shared" si="1"/>
        <v>0</v>
      </c>
      <c r="I9" s="94">
        <f t="shared" si="2"/>
        <v>0</v>
      </c>
      <c r="K9" s="108">
        <v>2019</v>
      </c>
      <c r="L9" s="31">
        <f>+M8</f>
        <v>0</v>
      </c>
      <c r="M9" s="31">
        <f>L9*Vorgabe_ab_2023!$G$9</f>
        <v>0</v>
      </c>
      <c r="O9" s="1">
        <v>2019</v>
      </c>
      <c r="P9" s="31">
        <f>+Q8</f>
        <v>0</v>
      </c>
      <c r="Q9" s="31">
        <f>P9*Vorgabe_ab_2023!$K$9</f>
        <v>0</v>
      </c>
      <c r="S9" s="1">
        <v>2019</v>
      </c>
      <c r="T9" s="31">
        <f>+U8</f>
        <v>0</v>
      </c>
      <c r="U9" s="115">
        <f>T9*Vorgabe_ab_2023!$K$9</f>
        <v>0</v>
      </c>
    </row>
    <row r="10" spans="1:21" ht="15.75" thickBot="1" x14ac:dyDescent="0.3">
      <c r="C10" s="84"/>
      <c r="E10" s="95"/>
      <c r="G10" s="96"/>
      <c r="H10" s="97"/>
      <c r="I10" s="98"/>
      <c r="K10" s="116">
        <v>2020</v>
      </c>
      <c r="L10" s="117">
        <f>+M9</f>
        <v>0</v>
      </c>
      <c r="M10" s="118">
        <f>L10*Vorgabe_ab_2023!$G$9</f>
        <v>0</v>
      </c>
      <c r="N10" s="119"/>
      <c r="O10" s="120">
        <v>2020</v>
      </c>
      <c r="P10" s="117">
        <f>+Q9</f>
        <v>0</v>
      </c>
      <c r="Q10" s="118">
        <f>P10*Vorgabe_ab_2023!$K$9</f>
        <v>0</v>
      </c>
      <c r="R10" s="119"/>
      <c r="S10" s="120">
        <v>2020</v>
      </c>
      <c r="T10" s="117">
        <f>+U9</f>
        <v>0</v>
      </c>
      <c r="U10" s="121">
        <f>T10*Vorgabe_ab_2023!$K$9</f>
        <v>0</v>
      </c>
    </row>
    <row r="11" spans="1:21" x14ac:dyDescent="0.25">
      <c r="C11" s="84"/>
      <c r="E11" s="91">
        <f>SUM(E3:E10)</f>
        <v>18924</v>
      </c>
      <c r="G11" s="96"/>
      <c r="H11" s="99"/>
      <c r="I11" s="94">
        <f>SUM(I3:I10)</f>
        <v>21759</v>
      </c>
      <c r="M11" s="31"/>
    </row>
    <row r="12" spans="1:21" x14ac:dyDescent="0.25">
      <c r="C12" s="84"/>
      <c r="E12" s="95"/>
      <c r="G12" s="96"/>
      <c r="H12" s="99"/>
      <c r="I12" s="98"/>
      <c r="M12" s="31"/>
    </row>
    <row r="13" spans="1:21" x14ac:dyDescent="0.25">
      <c r="C13" s="100"/>
      <c r="D13" s="101"/>
      <c r="E13" s="102"/>
      <c r="G13" s="103" t="s">
        <v>117</v>
      </c>
      <c r="H13" s="104"/>
      <c r="I13" s="105">
        <f>I11-E11</f>
        <v>2835</v>
      </c>
      <c r="M13" s="31"/>
    </row>
    <row r="14" spans="1:21" x14ac:dyDescent="0.25">
      <c r="M14" s="31"/>
    </row>
  </sheetData>
  <mergeCells count="5">
    <mergeCell ref="C1:E1"/>
    <mergeCell ref="G1:I1"/>
    <mergeCell ref="S2:U2"/>
    <mergeCell ref="K2:M2"/>
    <mergeCell ref="O2:Q2"/>
  </mergeCells>
  <pageMargins left="0.7" right="0.7" top="0.78740157499999996" bottom="0.78740157499999996" header="0.3" footer="0.3"/>
  <pageSetup paperSize="9" scale="52"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9D38-6544-4A96-9AC7-FFA32A39EBA3}">
  <dimension ref="A1:AX29"/>
  <sheetViews>
    <sheetView zoomScaleNormal="100" workbookViewId="0">
      <pane xSplit="2" ySplit="1" topLeftCell="AB2" activePane="bottomRight" state="frozen"/>
      <selection pane="topRight" activeCell="AD5" sqref="AD5"/>
      <selection pane="bottomLeft" activeCell="AD5" sqref="AD5"/>
      <selection pane="bottomRight" activeCell="AD5" sqref="AD5"/>
    </sheetView>
  </sheetViews>
  <sheetFormatPr baseColWidth="10" defaultColWidth="11.5703125" defaultRowHeight="15" x14ac:dyDescent="0.25"/>
  <cols>
    <col min="1" max="1" width="5.28515625" style="1" customWidth="1"/>
    <col min="2" max="2" width="30.42578125" style="1" customWidth="1"/>
    <col min="3" max="3" width="18.140625" style="1" customWidth="1"/>
    <col min="4" max="4" width="11.5703125" style="1"/>
    <col min="5" max="5" width="4" style="1" customWidth="1"/>
    <col min="6" max="6" width="18.140625" style="1" customWidth="1"/>
    <col min="7" max="7" width="11.5703125" style="1"/>
    <col min="8" max="8" width="4" style="1" customWidth="1"/>
    <col min="9" max="9" width="18.140625" style="1" customWidth="1"/>
    <col min="10" max="10" width="11.5703125" style="1"/>
    <col min="11" max="11" width="4" style="1" customWidth="1"/>
    <col min="12" max="12" width="18.140625" style="1" customWidth="1"/>
    <col min="13" max="13" width="11.5703125" style="1"/>
    <col min="14" max="14" width="4" style="1" customWidth="1"/>
    <col min="15" max="15" width="18.140625" style="1" customWidth="1"/>
    <col min="16" max="16" width="11.5703125" style="1"/>
    <col min="17" max="17" width="4" style="1" customWidth="1"/>
    <col min="18" max="18" width="18.140625" style="1" customWidth="1"/>
    <col min="19" max="19" width="11.5703125" style="1"/>
    <col min="20" max="20" width="4" style="1" customWidth="1"/>
    <col min="21" max="21" width="18.140625" style="1" customWidth="1"/>
    <col min="22" max="22" width="11.5703125" style="1"/>
    <col min="23" max="23" width="4" style="1" customWidth="1"/>
    <col min="24" max="24" width="18.140625" style="1" customWidth="1"/>
    <col min="25" max="25" width="11.5703125" style="1"/>
    <col min="26" max="26" width="4" style="1" customWidth="1"/>
    <col min="27" max="27" width="18.140625" style="1" customWidth="1"/>
    <col min="28" max="28" width="11.5703125" style="1"/>
    <col min="29" max="29" width="4" style="1" customWidth="1"/>
    <col min="30" max="30" width="18.140625" style="1" customWidth="1"/>
    <col min="31" max="31" width="11.5703125" style="1"/>
    <col min="32" max="32" width="4" style="1" customWidth="1"/>
    <col min="33" max="33" width="18.140625" style="1" customWidth="1"/>
    <col min="34" max="34" width="11.5703125" style="1"/>
    <col min="35" max="35" width="4" style="1" customWidth="1"/>
    <col min="36" max="36" width="18.140625" style="1" customWidth="1"/>
    <col min="37" max="37" width="11.5703125" style="1"/>
    <col min="38" max="38" width="4" style="1" customWidth="1"/>
    <col min="39" max="39" width="18.140625" style="1" customWidth="1"/>
    <col min="40" max="40" width="11.5703125" style="1"/>
    <col min="41" max="41" width="4" style="1" customWidth="1"/>
    <col min="42" max="42" width="18.140625" style="1" customWidth="1"/>
    <col min="43" max="43" width="11.5703125" style="1"/>
    <col min="44" max="44" width="4" style="1" customWidth="1"/>
    <col min="45" max="45" width="18.140625" style="1" customWidth="1"/>
    <col min="46" max="46" width="11.5703125" style="1"/>
    <col min="47" max="47" width="4" style="1" customWidth="1"/>
    <col min="48" max="48" width="18.140625" style="1" customWidth="1"/>
    <col min="49" max="49" width="11.5703125" style="1"/>
    <col min="50" max="50" width="4" style="1" customWidth="1"/>
    <col min="51" max="16384" width="11.5703125" style="1"/>
  </cols>
  <sheetData>
    <row r="1" spans="1:50" x14ac:dyDescent="0.25">
      <c r="C1" s="167" t="s">
        <v>47</v>
      </c>
      <c r="D1" s="167"/>
      <c r="E1" s="5"/>
      <c r="F1" s="167" t="s">
        <v>0</v>
      </c>
      <c r="G1" s="167"/>
      <c r="H1" s="5"/>
      <c r="I1" s="167" t="s">
        <v>118</v>
      </c>
      <c r="J1" s="167"/>
      <c r="K1" s="5"/>
      <c r="L1" s="167" t="s">
        <v>1</v>
      </c>
      <c r="M1" s="167"/>
      <c r="N1" s="5"/>
      <c r="O1" s="167" t="s">
        <v>2</v>
      </c>
      <c r="P1" s="167"/>
      <c r="Q1" s="5"/>
      <c r="R1" s="167" t="s">
        <v>3</v>
      </c>
      <c r="S1" s="167"/>
      <c r="T1" s="5"/>
      <c r="U1" s="167" t="s">
        <v>4</v>
      </c>
      <c r="V1" s="167"/>
      <c r="W1" s="5"/>
      <c r="X1" s="167" t="s">
        <v>5</v>
      </c>
      <c r="Y1" s="167"/>
      <c r="Z1" s="5"/>
      <c r="AA1" s="167" t="s">
        <v>6</v>
      </c>
      <c r="AB1" s="167"/>
      <c r="AC1" s="5"/>
      <c r="AD1" s="167" t="s">
        <v>7</v>
      </c>
      <c r="AE1" s="167"/>
      <c r="AF1" s="5"/>
      <c r="AG1" s="167" t="s">
        <v>8</v>
      </c>
      <c r="AH1" s="167"/>
      <c r="AI1" s="5"/>
      <c r="AJ1" s="167" t="s">
        <v>9</v>
      </c>
      <c r="AK1" s="167"/>
      <c r="AL1" s="5"/>
      <c r="AM1" s="167" t="s">
        <v>10</v>
      </c>
      <c r="AN1" s="167"/>
      <c r="AO1" s="5"/>
      <c r="AP1" s="167" t="s">
        <v>11</v>
      </c>
      <c r="AQ1" s="167"/>
      <c r="AR1" s="5"/>
      <c r="AS1" s="167" t="s">
        <v>53</v>
      </c>
      <c r="AT1" s="167"/>
      <c r="AU1" s="5"/>
      <c r="AV1" s="167" t="s">
        <v>12</v>
      </c>
      <c r="AW1" s="167"/>
      <c r="AX1" s="5"/>
    </row>
    <row r="2" spans="1:50" x14ac:dyDescent="0.25">
      <c r="B2" s="1" t="str">
        <f>+Vorgabe_2016!A3</f>
        <v>1. Ausbildung</v>
      </c>
      <c r="C2" s="2" t="s">
        <v>14</v>
      </c>
      <c r="D2" s="3">
        <f>VLOOKUP(C2,Vorgabe_2016!$A$4:$B$8,2)</f>
        <v>3.5</v>
      </c>
      <c r="E2" s="5"/>
      <c r="F2" s="2" t="s">
        <v>13</v>
      </c>
      <c r="G2" s="3">
        <f>VLOOKUP(F2,Vorgabe_2016!$A$4:$B$8,2)</f>
        <v>4.5</v>
      </c>
      <c r="H2" s="5"/>
      <c r="I2" s="2" t="s">
        <v>14</v>
      </c>
      <c r="J2" s="3">
        <f>VLOOKUP(I2,Vorgabe_2016!$A$4:$B$8,2)</f>
        <v>3.5</v>
      </c>
      <c r="K2" s="5"/>
      <c r="L2" s="2" t="s">
        <v>13</v>
      </c>
      <c r="M2" s="3">
        <f>VLOOKUP(L2,Vorgabe_2016!$A$4:$B$8,2)</f>
        <v>4.5</v>
      </c>
      <c r="N2" s="5"/>
      <c r="O2" s="2" t="s">
        <v>13</v>
      </c>
      <c r="P2" s="3">
        <f>VLOOKUP(O2,Vorgabe_2016!$A$4:$B$8,2)</f>
        <v>4.5</v>
      </c>
      <c r="Q2" s="5"/>
      <c r="R2" s="2" t="s">
        <v>13</v>
      </c>
      <c r="S2" s="3">
        <f>VLOOKUP(R2,Vorgabe_2016!$A$4:$B$8,2)</f>
        <v>4.5</v>
      </c>
      <c r="T2" s="5"/>
      <c r="U2" s="2" t="s">
        <v>13</v>
      </c>
      <c r="V2" s="3">
        <f>VLOOKUP(U2,Vorgabe_2016!$A$4:$B$8,2)</f>
        <v>4.5</v>
      </c>
      <c r="W2" s="5"/>
      <c r="X2" s="2" t="s">
        <v>13</v>
      </c>
      <c r="Y2" s="3">
        <f>VLOOKUP(X2,Vorgabe_2016!$A$4:$B$8,2)</f>
        <v>4.5</v>
      </c>
      <c r="Z2" s="5"/>
      <c r="AA2" s="2" t="s">
        <v>13</v>
      </c>
      <c r="AB2" s="3">
        <f>VLOOKUP(AA2,Vorgabe_2016!$A$4:$B$8,2)</f>
        <v>4.5</v>
      </c>
      <c r="AC2" s="5"/>
      <c r="AD2" s="2" t="s">
        <v>13</v>
      </c>
      <c r="AE2" s="3">
        <f>VLOOKUP(AD2,Vorgabe_2016!$A$4:$B$8,2)</f>
        <v>4.5</v>
      </c>
      <c r="AF2" s="5"/>
      <c r="AG2" s="2" t="s">
        <v>13</v>
      </c>
      <c r="AH2" s="3">
        <f>VLOOKUP(AG2,Vorgabe_2016!$A$4:$B$8,2)</f>
        <v>4.5</v>
      </c>
      <c r="AI2" s="5"/>
      <c r="AJ2" s="2" t="s">
        <v>13</v>
      </c>
      <c r="AK2" s="3">
        <f>VLOOKUP(AJ2,Vorgabe_2016!$A$4:$B$8,2)</f>
        <v>4.5</v>
      </c>
      <c r="AL2" s="5"/>
      <c r="AM2" s="2" t="s">
        <v>14</v>
      </c>
      <c r="AN2" s="3">
        <f>VLOOKUP(AM2,Vorgabe_2016!$A$4:$B$8,2)</f>
        <v>3.5</v>
      </c>
      <c r="AO2" s="5"/>
      <c r="AP2" s="2" t="s">
        <v>14</v>
      </c>
      <c r="AQ2" s="3">
        <f>VLOOKUP(AP2,Vorgabe_2016!$A$4:$B$8,2)</f>
        <v>3.5</v>
      </c>
      <c r="AR2" s="5"/>
      <c r="AS2" s="2" t="s">
        <v>14</v>
      </c>
      <c r="AT2" s="3">
        <f>VLOOKUP(AS2,Vorgabe_2016!$A$4:$B$8,2)</f>
        <v>3.5</v>
      </c>
      <c r="AU2" s="5"/>
      <c r="AV2" s="2" t="s">
        <v>14</v>
      </c>
      <c r="AW2" s="3">
        <f>VLOOKUP(AV2,Vorgabe_2016!$A$4:$B$8,2)</f>
        <v>3.5</v>
      </c>
      <c r="AX2" s="5"/>
    </row>
    <row r="3" spans="1:50" x14ac:dyDescent="0.25">
      <c r="B3" s="1" t="str">
        <f>+Vorgabe_2016!A11</f>
        <v>2. gültige Lizenz</v>
      </c>
      <c r="C3" s="2" t="s">
        <v>15</v>
      </c>
      <c r="D3" s="3">
        <f>VLOOKUP(C3,Vorgabe_2016!$A$12:$B$13,2)</f>
        <v>0</v>
      </c>
      <c r="E3" s="5"/>
      <c r="F3" s="2" t="s">
        <v>15</v>
      </c>
      <c r="G3" s="3">
        <f>VLOOKUP(F3,Vorgabe_2016!$A$12:$B$13,2)</f>
        <v>0</v>
      </c>
      <c r="H3" s="5"/>
      <c r="I3" s="2" t="s">
        <v>15</v>
      </c>
      <c r="J3" s="3">
        <f>VLOOKUP(I3,Vorgabe_2016!$A$12:$B$13,2)</f>
        <v>0</v>
      </c>
      <c r="K3" s="5"/>
      <c r="L3" s="2" t="s">
        <v>15</v>
      </c>
      <c r="M3" s="3">
        <f>VLOOKUP(L3,Vorgabe_2016!$A$12:$B$13,2)</f>
        <v>0</v>
      </c>
      <c r="N3" s="5"/>
      <c r="O3" s="2" t="s">
        <v>16</v>
      </c>
      <c r="P3" s="3">
        <f>VLOOKUP(O3,Vorgabe_2016!$A$12:$B$13,2)</f>
        <v>1.5</v>
      </c>
      <c r="Q3" s="5"/>
      <c r="R3" s="2" t="s">
        <v>16</v>
      </c>
      <c r="S3" s="3">
        <f>VLOOKUP(R3,Vorgabe_2016!$A$12:$B$13,2)</f>
        <v>1.5</v>
      </c>
      <c r="T3" s="5"/>
      <c r="U3" s="2" t="s">
        <v>16</v>
      </c>
      <c r="V3" s="3">
        <f>VLOOKUP(U3,Vorgabe_2016!$A$12:$B$13,2)</f>
        <v>1.5</v>
      </c>
      <c r="W3" s="5"/>
      <c r="X3" s="2" t="s">
        <v>16</v>
      </c>
      <c r="Y3" s="3">
        <f>VLOOKUP(X3,Vorgabe_2016!$A$12:$B$13,2)</f>
        <v>1.5</v>
      </c>
      <c r="Z3" s="5"/>
      <c r="AA3" s="2" t="s">
        <v>16</v>
      </c>
      <c r="AB3" s="3">
        <f>VLOOKUP(AA3,Vorgabe_2016!$A$12:$B$13,2)</f>
        <v>1.5</v>
      </c>
      <c r="AC3" s="5"/>
      <c r="AD3" s="2" t="s">
        <v>16</v>
      </c>
      <c r="AE3" s="3">
        <f>VLOOKUP(AD3,Vorgabe_2016!$A$12:$B$13,2)</f>
        <v>1.5</v>
      </c>
      <c r="AF3" s="5"/>
      <c r="AG3" s="2" t="s">
        <v>15</v>
      </c>
      <c r="AH3" s="3">
        <f>VLOOKUP(AG3,Vorgabe_2016!$A$12:$B$13,2)</f>
        <v>0</v>
      </c>
      <c r="AI3" s="5"/>
      <c r="AJ3" s="2" t="s">
        <v>16</v>
      </c>
      <c r="AK3" s="3">
        <f>VLOOKUP(AJ3,Vorgabe_2016!$A$12:$B$13,2)</f>
        <v>1.5</v>
      </c>
      <c r="AL3" s="5"/>
      <c r="AM3" s="2" t="s">
        <v>15</v>
      </c>
      <c r="AN3" s="3">
        <f>VLOOKUP(AM3,Vorgabe_2016!$A$12:$B$13,2)</f>
        <v>0</v>
      </c>
      <c r="AO3" s="5"/>
      <c r="AP3" s="2" t="s">
        <v>15</v>
      </c>
      <c r="AQ3" s="3">
        <f>VLOOKUP(AP3,Vorgabe_2016!$A$12:$B$13,2)</f>
        <v>0</v>
      </c>
      <c r="AR3" s="5"/>
      <c r="AS3" s="2" t="s">
        <v>15</v>
      </c>
      <c r="AT3" s="3">
        <f>VLOOKUP(AS3,Vorgabe_2016!$A$12:$B$13,2)</f>
        <v>0</v>
      </c>
      <c r="AU3" s="5"/>
      <c r="AV3" s="2" t="s">
        <v>15</v>
      </c>
      <c r="AW3" s="3">
        <f>VLOOKUP(AV3,Vorgabe_2016!$A$12:$B$13,2)</f>
        <v>0</v>
      </c>
      <c r="AX3" s="5"/>
    </row>
    <row r="4" spans="1:50" x14ac:dyDescent="0.25">
      <c r="B4" s="1" t="str">
        <f>+Vorgabe_2016!A16</f>
        <v>3. Erfahrung</v>
      </c>
      <c r="C4" s="2" t="s">
        <v>17</v>
      </c>
      <c r="D4" s="3">
        <f>VLOOKUP(C4,Vorgabe_2016!$A$17:$B$20,2)</f>
        <v>2</v>
      </c>
      <c r="E4" s="5"/>
      <c r="F4" s="2" t="s">
        <v>17</v>
      </c>
      <c r="G4" s="3">
        <f>VLOOKUP(F4,Vorgabe_2016!$A$17:$B$20,2)</f>
        <v>2</v>
      </c>
      <c r="H4" s="5"/>
      <c r="I4" s="2" t="s">
        <v>17</v>
      </c>
      <c r="J4" s="3">
        <f>VLOOKUP(I4,Vorgabe_2016!$A$17:$B$20,2)</f>
        <v>2</v>
      </c>
      <c r="K4" s="5"/>
      <c r="L4" s="2" t="s">
        <v>17</v>
      </c>
      <c r="M4" s="3">
        <f>VLOOKUP(L4,Vorgabe_2016!$A$17:$B$20,2)</f>
        <v>2</v>
      </c>
      <c r="N4" s="5"/>
      <c r="O4" s="2" t="s">
        <v>17</v>
      </c>
      <c r="P4" s="3">
        <f>VLOOKUP(O4,Vorgabe_2016!$A$17:$B$20,2)</f>
        <v>2</v>
      </c>
      <c r="Q4" s="5"/>
      <c r="R4" s="2" t="s">
        <v>17</v>
      </c>
      <c r="S4" s="3">
        <f>VLOOKUP(R4,Vorgabe_2016!$A$17:$B$20,2)</f>
        <v>2</v>
      </c>
      <c r="T4" s="5"/>
      <c r="U4" s="2" t="s">
        <v>18</v>
      </c>
      <c r="V4" s="3">
        <f>VLOOKUP(U4,Vorgabe_2016!$A$17:$B$20,2)</f>
        <v>1.5</v>
      </c>
      <c r="W4" s="5"/>
      <c r="X4" s="2" t="s">
        <v>17</v>
      </c>
      <c r="Y4" s="3">
        <f>VLOOKUP(X4,Vorgabe_2016!$A$17:$B$20,2)</f>
        <v>2</v>
      </c>
      <c r="Z4" s="5"/>
      <c r="AA4" s="2" t="s">
        <v>17</v>
      </c>
      <c r="AB4" s="3">
        <f>VLOOKUP(AA4,Vorgabe_2016!$A$17:$B$20,2)</f>
        <v>2</v>
      </c>
      <c r="AC4" s="5"/>
      <c r="AD4" s="2" t="s">
        <v>19</v>
      </c>
      <c r="AE4" s="3">
        <f>VLOOKUP(AD4,Vorgabe_2016!$A$17:$B$20,2)</f>
        <v>1</v>
      </c>
      <c r="AF4" s="5"/>
      <c r="AG4" s="2" t="s">
        <v>19</v>
      </c>
      <c r="AH4" s="3">
        <f>VLOOKUP(AG4,Vorgabe_2016!$A$17:$B$20,2)</f>
        <v>1</v>
      </c>
      <c r="AI4" s="5"/>
      <c r="AJ4" s="2" t="s">
        <v>19</v>
      </c>
      <c r="AK4" s="3">
        <f>VLOOKUP(AJ4,Vorgabe_2016!$A$17:$B$20,2)</f>
        <v>1</v>
      </c>
      <c r="AL4" s="5"/>
      <c r="AM4" s="2" t="s">
        <v>20</v>
      </c>
      <c r="AN4" s="3">
        <f>VLOOKUP(AM4,Vorgabe_2016!$A$17:$B$20,2)</f>
        <v>0.5</v>
      </c>
      <c r="AO4" s="5"/>
      <c r="AP4" s="2" t="s">
        <v>20</v>
      </c>
      <c r="AQ4" s="3">
        <f>VLOOKUP(AP4,Vorgabe_2016!$A$17:$B$20,2)</f>
        <v>0.5</v>
      </c>
      <c r="AR4" s="5"/>
      <c r="AS4" s="2" t="s">
        <v>20</v>
      </c>
      <c r="AT4" s="3">
        <f>VLOOKUP(AS4,Vorgabe_2016!$A$17:$B$20,2)</f>
        <v>0.5</v>
      </c>
      <c r="AU4" s="5"/>
      <c r="AV4" s="2" t="s">
        <v>20</v>
      </c>
      <c r="AW4" s="3">
        <f>VLOOKUP(AV4,Vorgabe_2016!$A$17:$B$20,2)</f>
        <v>0.5</v>
      </c>
      <c r="AX4" s="5"/>
    </row>
    <row r="5" spans="1:50" x14ac:dyDescent="0.25">
      <c r="B5" s="1" t="str">
        <f>+Vorgabe_2016!A23</f>
        <v>4. Gruppengröße</v>
      </c>
      <c r="C5" s="2" t="s">
        <v>22</v>
      </c>
      <c r="D5" s="3">
        <f>VLOOKUP(C5,Vorgabe_2016!$A$24:$B$28,2)</f>
        <v>2</v>
      </c>
      <c r="E5" s="5"/>
      <c r="F5" s="2" t="s">
        <v>21</v>
      </c>
      <c r="G5" s="3">
        <f>VLOOKUP(F5,Vorgabe_2016!$A$24:$B$28,2)</f>
        <v>2.5</v>
      </c>
      <c r="H5" s="5"/>
      <c r="I5" s="2" t="s">
        <v>23</v>
      </c>
      <c r="J5" s="3">
        <f>VLOOKUP(I5,Vorgabe_2016!$A$24:$B$28,2)</f>
        <v>1</v>
      </c>
      <c r="K5" s="5"/>
      <c r="L5" s="2" t="s">
        <v>22</v>
      </c>
      <c r="M5" s="3">
        <f>VLOOKUP(L5,Vorgabe_2016!$A$24:$B$28,2)</f>
        <v>2</v>
      </c>
      <c r="N5" s="5"/>
      <c r="O5" s="2" t="s">
        <v>22</v>
      </c>
      <c r="P5" s="3">
        <f>VLOOKUP(O5,Vorgabe_2016!$A$24:$B$28,2)</f>
        <v>2</v>
      </c>
      <c r="Q5" s="5"/>
      <c r="R5" s="2" t="s">
        <v>23</v>
      </c>
      <c r="S5" s="3">
        <f>VLOOKUP(R5,Vorgabe_2016!$A$24:$B$28,2)</f>
        <v>1</v>
      </c>
      <c r="T5" s="5"/>
      <c r="U5" s="2" t="s">
        <v>23</v>
      </c>
      <c r="V5" s="3">
        <f>VLOOKUP(U5,Vorgabe_2016!$A$24:$B$28,2)</f>
        <v>1</v>
      </c>
      <c r="W5" s="5"/>
      <c r="X5" s="2" t="s">
        <v>22</v>
      </c>
      <c r="Y5" s="3">
        <f>VLOOKUP(X5,Vorgabe_2016!$A$24:$B$28,2)</f>
        <v>2</v>
      </c>
      <c r="Z5" s="5"/>
      <c r="AA5" s="2" t="s">
        <v>22</v>
      </c>
      <c r="AB5" s="3">
        <f>VLOOKUP(AA5,Vorgabe_2016!$A$24:$B$28,2)</f>
        <v>2</v>
      </c>
      <c r="AC5" s="5"/>
      <c r="AD5" s="2" t="s">
        <v>23</v>
      </c>
      <c r="AE5" s="3">
        <f>VLOOKUP(AD5,Vorgabe_2016!$A$24:$B$28,2)</f>
        <v>1</v>
      </c>
      <c r="AF5" s="5"/>
      <c r="AG5" s="2" t="s">
        <v>93</v>
      </c>
      <c r="AH5" s="3">
        <f>VLOOKUP(AG5,Vorgabe_2016!$A$24:$B$28,2)</f>
        <v>1.5</v>
      </c>
      <c r="AI5" s="5"/>
      <c r="AJ5" s="2" t="s">
        <v>23</v>
      </c>
      <c r="AK5" s="3">
        <f>VLOOKUP(AJ5,Vorgabe_2016!$A$24:$B$28,2)</f>
        <v>1</v>
      </c>
      <c r="AL5" s="5"/>
      <c r="AM5" s="2" t="s">
        <v>23</v>
      </c>
      <c r="AN5" s="3">
        <f>VLOOKUP(AM5,Vorgabe_2016!$A$24:$B$28,2)</f>
        <v>1</v>
      </c>
      <c r="AO5" s="5"/>
      <c r="AP5" s="2" t="s">
        <v>23</v>
      </c>
      <c r="AQ5" s="3">
        <f>VLOOKUP(AP5,Vorgabe_2016!$A$24:$B$28,2)</f>
        <v>1</v>
      </c>
      <c r="AR5" s="5"/>
      <c r="AS5" s="2" t="s">
        <v>93</v>
      </c>
      <c r="AT5" s="3">
        <f>VLOOKUP(AS5,Vorgabe_2016!$A$24:$B$28,2)</f>
        <v>1.5</v>
      </c>
      <c r="AU5" s="5"/>
      <c r="AV5" s="2" t="s">
        <v>23</v>
      </c>
      <c r="AW5" s="3">
        <f>VLOOKUP(AV5,Vorgabe_2016!$A$24:$B$28,2)</f>
        <v>1</v>
      </c>
      <c r="AX5" s="5"/>
    </row>
    <row r="6" spans="1:50" x14ac:dyDescent="0.25">
      <c r="B6" s="1" t="str">
        <f>+Vorgabe_2016!A31</f>
        <v>5. Wettkampfbeteiligung</v>
      </c>
      <c r="C6" s="2" t="s">
        <v>95</v>
      </c>
      <c r="D6" s="3">
        <f>VLOOKUP(C6,Vorgabe_2016!$A$32:$B$33,2)</f>
        <v>1</v>
      </c>
      <c r="E6" s="5"/>
      <c r="F6" s="2" t="s">
        <v>15</v>
      </c>
      <c r="G6" s="3">
        <f>VLOOKUP(F6,Vorgabe_2016!$A$32:$B$33,2)</f>
        <v>0</v>
      </c>
      <c r="H6" s="5"/>
      <c r="I6" s="2" t="s">
        <v>15</v>
      </c>
      <c r="J6" s="3">
        <f>VLOOKUP(I6,Vorgabe_2016!$A$32:$B$33,2)</f>
        <v>0</v>
      </c>
      <c r="K6" s="5"/>
      <c r="L6" s="2" t="s">
        <v>15</v>
      </c>
      <c r="M6" s="3">
        <f>VLOOKUP(L6,Vorgabe_2016!$A$32:$B$33,2)</f>
        <v>0</v>
      </c>
      <c r="N6" s="5"/>
      <c r="O6" s="2" t="s">
        <v>15</v>
      </c>
      <c r="P6" s="3">
        <f>VLOOKUP(O6,Vorgabe_2016!$A$32:$B$33,2)</f>
        <v>0</v>
      </c>
      <c r="Q6" s="5"/>
      <c r="R6" s="2" t="s">
        <v>15</v>
      </c>
      <c r="S6" s="3">
        <f>VLOOKUP(R6,Vorgabe_2016!$A$32:$B$33,2)</f>
        <v>0</v>
      </c>
      <c r="T6" s="5"/>
      <c r="U6" s="2" t="s">
        <v>15</v>
      </c>
      <c r="V6" s="3">
        <f>VLOOKUP(U6,Vorgabe_2016!$A$32:$B$33,2)</f>
        <v>0</v>
      </c>
      <c r="W6" s="5"/>
      <c r="X6" s="2" t="s">
        <v>15</v>
      </c>
      <c r="Y6" s="3">
        <f>VLOOKUP(X6,Vorgabe_2016!$A$32:$B$33,2)</f>
        <v>0</v>
      </c>
      <c r="Z6" s="5"/>
      <c r="AA6" s="2" t="s">
        <v>15</v>
      </c>
      <c r="AB6" s="3">
        <f>VLOOKUP(AA6,Vorgabe_2016!$A$32:$B$33,2)</f>
        <v>0</v>
      </c>
      <c r="AC6" s="5"/>
      <c r="AD6" s="2" t="s">
        <v>15</v>
      </c>
      <c r="AE6" s="3">
        <f>VLOOKUP(AD6,Vorgabe_2016!$A$32:$B$33,2)</f>
        <v>0</v>
      </c>
      <c r="AF6" s="5"/>
      <c r="AG6" s="2" t="s">
        <v>15</v>
      </c>
      <c r="AH6" s="3">
        <f>VLOOKUP(AG6,Vorgabe_2016!$A$32:$B$33,2)</f>
        <v>0</v>
      </c>
      <c r="AI6" s="5"/>
      <c r="AJ6" s="2" t="s">
        <v>15</v>
      </c>
      <c r="AK6" s="3">
        <f>VLOOKUP(AJ6,Vorgabe_2016!$A$32:$B$33,2)</f>
        <v>0</v>
      </c>
      <c r="AL6" s="5"/>
      <c r="AM6" s="2" t="s">
        <v>15</v>
      </c>
      <c r="AN6" s="3">
        <f>VLOOKUP(AM6,Vorgabe_2016!$A$32:$B$33,2)</f>
        <v>0</v>
      </c>
      <c r="AO6" s="5"/>
      <c r="AP6" s="2" t="s">
        <v>15</v>
      </c>
      <c r="AQ6" s="3">
        <f>VLOOKUP(AP6,Vorgabe_2016!$A$32:$B$33,2)</f>
        <v>0</v>
      </c>
      <c r="AR6" s="5"/>
      <c r="AS6" s="2" t="s">
        <v>15</v>
      </c>
      <c r="AT6" s="3">
        <f>VLOOKUP(AS6,Vorgabe_2016!$A$32:$B$33,2)</f>
        <v>0</v>
      </c>
      <c r="AU6" s="5"/>
      <c r="AV6" s="2" t="s">
        <v>15</v>
      </c>
      <c r="AW6" s="3">
        <f>VLOOKUP(AV6,Vorgabe_2016!$A$32:$B$33,2)</f>
        <v>0</v>
      </c>
      <c r="AX6" s="5"/>
    </row>
    <row r="7" spans="1:50" x14ac:dyDescent="0.25">
      <c r="E7" s="5"/>
      <c r="H7" s="5"/>
      <c r="K7" s="5"/>
      <c r="N7" s="5"/>
      <c r="Q7" s="5"/>
      <c r="T7" s="5"/>
      <c r="W7" s="5"/>
      <c r="Z7" s="5"/>
      <c r="AC7" s="5"/>
      <c r="AF7" s="5"/>
      <c r="AI7" s="5"/>
      <c r="AL7" s="5"/>
      <c r="AO7" s="5"/>
      <c r="AR7" s="5"/>
      <c r="AU7" s="5"/>
      <c r="AX7" s="5"/>
    </row>
    <row r="8" spans="1:50" ht="15.75" thickBot="1" x14ac:dyDescent="0.3">
      <c r="B8" s="1" t="s">
        <v>24</v>
      </c>
      <c r="D8" s="4"/>
      <c r="E8" s="5"/>
      <c r="G8" s="4">
        <f>SUM(G2:G7)</f>
        <v>9</v>
      </c>
      <c r="H8" s="5"/>
      <c r="J8" s="4"/>
      <c r="K8" s="5"/>
      <c r="M8" s="4">
        <f>SUM(M2:M7)</f>
        <v>8.5</v>
      </c>
      <c r="N8" s="5"/>
      <c r="P8" s="4">
        <f>SUM(P2:P7)</f>
        <v>10</v>
      </c>
      <c r="Q8" s="5"/>
      <c r="S8" s="4">
        <f>SUM(S2:S7)</f>
        <v>9</v>
      </c>
      <c r="T8" s="5"/>
      <c r="V8" s="4">
        <f>SUM(V2:V7)</f>
        <v>8.5</v>
      </c>
      <c r="W8" s="5"/>
      <c r="Y8" s="4">
        <f>SUM(Y2:Y7)</f>
        <v>10</v>
      </c>
      <c r="Z8" s="5"/>
      <c r="AB8" s="4">
        <f>SUM(AB2:AB7)</f>
        <v>10</v>
      </c>
      <c r="AC8" s="5"/>
      <c r="AE8" s="4">
        <f>SUM(AE2:AE7)</f>
        <v>8</v>
      </c>
      <c r="AF8" s="5"/>
      <c r="AH8" s="4">
        <f>SUM(AH2:AH7)</f>
        <v>7</v>
      </c>
      <c r="AI8" s="5"/>
      <c r="AK8" s="4">
        <f>SUM(AK2:AK7)</f>
        <v>8</v>
      </c>
      <c r="AL8" s="5"/>
      <c r="AN8" s="4">
        <f>SUM(AN2:AN7)</f>
        <v>5</v>
      </c>
      <c r="AO8" s="5"/>
      <c r="AQ8" s="4">
        <f>SUM(AQ2:AQ7)</f>
        <v>5</v>
      </c>
      <c r="AR8" s="5"/>
      <c r="AT8" s="4">
        <f>SUM(AT2:AT7)</f>
        <v>5.5</v>
      </c>
      <c r="AU8" s="5"/>
      <c r="AW8" s="4">
        <f>SUM(AW2:AW7)</f>
        <v>5</v>
      </c>
      <c r="AX8" s="5"/>
    </row>
    <row r="9" spans="1:50" ht="15.75" thickTop="1" x14ac:dyDescent="0.25">
      <c r="D9" s="11"/>
      <c r="E9" s="5"/>
      <c r="G9" s="11"/>
      <c r="H9" s="5"/>
      <c r="J9" s="11"/>
      <c r="K9" s="5"/>
      <c r="M9" s="11"/>
      <c r="N9" s="5"/>
      <c r="P9" s="11"/>
      <c r="Q9" s="5"/>
      <c r="S9" s="11"/>
      <c r="T9" s="5"/>
      <c r="V9" s="11"/>
      <c r="W9" s="5"/>
      <c r="Y9" s="11"/>
      <c r="Z9" s="5"/>
      <c r="AB9" s="11"/>
      <c r="AC9" s="5"/>
      <c r="AD9" s="1" t="s">
        <v>25</v>
      </c>
      <c r="AE9" s="11">
        <v>3</v>
      </c>
      <c r="AF9" s="5"/>
      <c r="AG9" s="1" t="s">
        <v>25</v>
      </c>
      <c r="AH9" s="11">
        <v>3</v>
      </c>
      <c r="AI9" s="54"/>
      <c r="AK9" s="11"/>
      <c r="AL9" s="5"/>
      <c r="AN9" s="11"/>
      <c r="AO9" s="5"/>
      <c r="AP9" s="1" t="s">
        <v>25</v>
      </c>
      <c r="AQ9" s="11">
        <v>3</v>
      </c>
      <c r="AR9" s="5"/>
      <c r="AT9" s="11"/>
      <c r="AU9" s="5"/>
      <c r="AW9" s="11"/>
      <c r="AX9" s="5"/>
    </row>
    <row r="10" spans="1:50" x14ac:dyDescent="0.25">
      <c r="B10" s="3" t="s">
        <v>26</v>
      </c>
      <c r="D10" s="12"/>
      <c r="E10" s="5"/>
      <c r="G10" s="12">
        <f>G8*G16*G17</f>
        <v>1080</v>
      </c>
      <c r="H10" s="5"/>
      <c r="J10" s="12"/>
      <c r="K10" s="5"/>
      <c r="M10" s="12">
        <f>M8*M16*M17</f>
        <v>510</v>
      </c>
      <c r="N10" s="5"/>
      <c r="P10" s="12">
        <f>P8*P16*P17</f>
        <v>800</v>
      </c>
      <c r="Q10" s="5"/>
      <c r="S10" s="12">
        <f>S8*S16*S17</f>
        <v>720</v>
      </c>
      <c r="T10" s="5"/>
      <c r="V10" s="12">
        <f>V8*V16*V17</f>
        <v>340</v>
      </c>
      <c r="W10" s="5"/>
      <c r="Y10" s="12">
        <f>Y8*Y16*Y17</f>
        <v>1000</v>
      </c>
      <c r="Z10" s="5"/>
      <c r="AB10" s="12">
        <f>AB8*AB16*AB17</f>
        <v>800</v>
      </c>
      <c r="AC10" s="5"/>
      <c r="AE10" s="12">
        <f>AE8*AE16*AE17</f>
        <v>640</v>
      </c>
      <c r="AF10" s="5"/>
      <c r="AH10" s="12">
        <f>AH8*AH16*AH17</f>
        <v>280</v>
      </c>
      <c r="AI10" s="5"/>
      <c r="AK10" s="12"/>
      <c r="AL10" s="5"/>
      <c r="AN10" s="12"/>
      <c r="AO10" s="5"/>
      <c r="AP10" s="68" t="s">
        <v>27</v>
      </c>
      <c r="AQ10" s="69">
        <v>4</v>
      </c>
      <c r="AR10" s="5"/>
      <c r="AT10" s="12"/>
      <c r="AU10" s="5"/>
      <c r="AW10" s="12"/>
      <c r="AX10" s="5"/>
    </row>
    <row r="13" spans="1:50" s="6" customFormat="1" x14ac:dyDescent="0.25">
      <c r="A13" s="168" t="s">
        <v>28</v>
      </c>
      <c r="B13" s="6" t="s">
        <v>29</v>
      </c>
      <c r="D13" s="7">
        <v>7.5</v>
      </c>
      <c r="G13" s="8">
        <f>+G8</f>
        <v>9</v>
      </c>
      <c r="J13" s="7">
        <v>7.5</v>
      </c>
      <c r="M13" s="8">
        <f>+M8</f>
        <v>8.5</v>
      </c>
      <c r="P13" s="8">
        <f>+P8</f>
        <v>10</v>
      </c>
      <c r="S13" s="8">
        <f>+S8</f>
        <v>9</v>
      </c>
      <c r="V13" s="8">
        <f>+V8</f>
        <v>8.5</v>
      </c>
      <c r="Y13" s="8">
        <f>+Y8</f>
        <v>10</v>
      </c>
      <c r="AB13" s="8">
        <f>+AB8</f>
        <v>10</v>
      </c>
      <c r="AE13" s="8">
        <f>+AE8</f>
        <v>8</v>
      </c>
      <c r="AH13" s="8">
        <f>+AH8</f>
        <v>7</v>
      </c>
      <c r="AK13" s="7">
        <v>7.5</v>
      </c>
      <c r="AN13" s="7">
        <v>7.5</v>
      </c>
      <c r="AQ13" s="7">
        <v>7.5</v>
      </c>
      <c r="AT13" s="7">
        <v>2.5</v>
      </c>
      <c r="AW13" s="7">
        <v>2.5</v>
      </c>
    </row>
    <row r="14" spans="1:50" s="6" customFormat="1" x14ac:dyDescent="0.25">
      <c r="A14" s="168"/>
      <c r="B14" s="6" t="s">
        <v>30</v>
      </c>
      <c r="D14" s="8">
        <f>D13*4</f>
        <v>30</v>
      </c>
      <c r="G14" s="8"/>
      <c r="J14" s="8">
        <f>J13*4</f>
        <v>30</v>
      </c>
      <c r="M14" s="8"/>
      <c r="P14" s="8"/>
      <c r="S14" s="8"/>
      <c r="V14" s="8"/>
      <c r="Y14" s="8"/>
      <c r="AB14" s="8"/>
      <c r="AE14" s="8"/>
      <c r="AH14" s="8"/>
      <c r="AK14" s="8">
        <f t="shared" ref="AK14" si="0">AK13*4</f>
        <v>30</v>
      </c>
      <c r="AN14" s="8">
        <f t="shared" ref="AN14" si="1">AN13*4</f>
        <v>30</v>
      </c>
      <c r="AQ14" s="8">
        <f t="shared" ref="AQ14" si="2">AQ13*4</f>
        <v>30</v>
      </c>
      <c r="AT14" s="8">
        <f>AT13*4</f>
        <v>10</v>
      </c>
      <c r="AW14" s="8">
        <f>AW13*4</f>
        <v>10</v>
      </c>
    </row>
    <row r="15" spans="1:50" s="6" customFormat="1" x14ac:dyDescent="0.25">
      <c r="A15" s="168"/>
    </row>
    <row r="16" spans="1:50" s="6" customFormat="1" x14ac:dyDescent="0.25">
      <c r="A16" s="168"/>
      <c r="B16" s="6" t="s">
        <v>31</v>
      </c>
      <c r="D16" s="9">
        <v>2</v>
      </c>
      <c r="G16" s="9">
        <v>3</v>
      </c>
      <c r="J16" s="9">
        <v>2</v>
      </c>
      <c r="M16" s="9">
        <v>1.5</v>
      </c>
      <c r="P16" s="9">
        <v>2</v>
      </c>
      <c r="S16" s="9">
        <v>2</v>
      </c>
      <c r="V16" s="9">
        <v>1</v>
      </c>
      <c r="Y16" s="9">
        <v>2.5</v>
      </c>
      <c r="AB16" s="9">
        <v>2</v>
      </c>
      <c r="AE16" s="9">
        <v>2</v>
      </c>
      <c r="AH16" s="9">
        <v>1</v>
      </c>
      <c r="AK16" s="9">
        <v>2</v>
      </c>
      <c r="AN16" s="9">
        <v>2</v>
      </c>
      <c r="AQ16" s="9">
        <v>2</v>
      </c>
      <c r="AT16" s="9">
        <v>2</v>
      </c>
      <c r="AW16" s="9">
        <v>2</v>
      </c>
    </row>
    <row r="17" spans="1:50" s="6" customFormat="1" x14ac:dyDescent="0.25">
      <c r="A17" s="168"/>
      <c r="B17" s="6" t="s">
        <v>119</v>
      </c>
      <c r="D17" s="9">
        <v>40</v>
      </c>
      <c r="G17" s="9">
        <f>+$D$17</f>
        <v>40</v>
      </c>
      <c r="J17" s="9">
        <v>40</v>
      </c>
      <c r="M17" s="9">
        <f>+$D$17</f>
        <v>40</v>
      </c>
      <c r="P17" s="9">
        <f>+$D$17</f>
        <v>40</v>
      </c>
      <c r="S17" s="9">
        <f>+$D$17</f>
        <v>40</v>
      </c>
      <c r="V17" s="9">
        <f>+$D$17</f>
        <v>40</v>
      </c>
      <c r="Y17" s="9">
        <f>+$D$17</f>
        <v>40</v>
      </c>
      <c r="AB17" s="9">
        <f>+$D$17</f>
        <v>40</v>
      </c>
      <c r="AE17" s="9">
        <f>+$D$17</f>
        <v>40</v>
      </c>
      <c r="AH17" s="9">
        <f>+$D$17</f>
        <v>40</v>
      </c>
      <c r="AK17" s="9">
        <v>40</v>
      </c>
      <c r="AN17" s="9">
        <v>40</v>
      </c>
      <c r="AQ17" s="9">
        <v>40</v>
      </c>
      <c r="AT17" s="9">
        <v>40</v>
      </c>
      <c r="AW17" s="9">
        <v>40</v>
      </c>
    </row>
    <row r="18" spans="1:50" s="10" customFormat="1" x14ac:dyDescent="0.25">
      <c r="A18" s="169"/>
      <c r="B18" s="10" t="s">
        <v>33</v>
      </c>
      <c r="D18" s="10">
        <f>D14*11</f>
        <v>330</v>
      </c>
      <c r="G18" s="10">
        <f>G17*G16*G13</f>
        <v>1080</v>
      </c>
      <c r="J18" s="10">
        <f>J14*11</f>
        <v>330</v>
      </c>
      <c r="M18" s="10">
        <f>M17*M16*M13</f>
        <v>510</v>
      </c>
      <c r="P18" s="10">
        <f>P17*P16*P13</f>
        <v>800</v>
      </c>
      <c r="S18" s="10">
        <f>S17*S16*S13</f>
        <v>720</v>
      </c>
      <c r="V18" s="10">
        <f>V17*V16*V13</f>
        <v>340</v>
      </c>
      <c r="Y18" s="10">
        <f>Y17*Y16*Y13</f>
        <v>1000</v>
      </c>
      <c r="AB18" s="10">
        <f>AB17*AB16*AB13</f>
        <v>800</v>
      </c>
      <c r="AE18" s="10">
        <f>AE17*AE16*AE13</f>
        <v>640</v>
      </c>
      <c r="AH18" s="10">
        <f>AH17*AH16*AH13</f>
        <v>280</v>
      </c>
      <c r="AK18" s="10">
        <f t="shared" ref="AK18" si="3">AK14*11</f>
        <v>330</v>
      </c>
      <c r="AN18" s="10">
        <f t="shared" ref="AN18" si="4">AN14*11</f>
        <v>330</v>
      </c>
      <c r="AQ18" s="10">
        <f t="shared" ref="AQ18" si="5">AQ14*11</f>
        <v>330</v>
      </c>
      <c r="AT18" s="10">
        <f t="shared" ref="AT18" si="6">AT14*11</f>
        <v>110</v>
      </c>
      <c r="AW18" s="10">
        <f t="shared" ref="AW18" si="7">AW14*11</f>
        <v>110</v>
      </c>
    </row>
    <row r="19" spans="1:50" s="3" customFormat="1" x14ac:dyDescent="0.25">
      <c r="A19" s="35"/>
    </row>
    <row r="20" spans="1:50" ht="8.4499999999999993" customHeight="1" x14ac:dyDescent="0.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2" spans="1:50" ht="15.75" thickBot="1" x14ac:dyDescent="0.3">
      <c r="B22" s="6"/>
      <c r="C22" s="51" t="s">
        <v>34</v>
      </c>
      <c r="D22" s="13">
        <f>SUM(D18:AAF18)</f>
        <v>8040</v>
      </c>
    </row>
    <row r="23" spans="1:50" ht="15.75" thickTop="1" x14ac:dyDescent="0.25"/>
    <row r="24" spans="1:50" x14ac:dyDescent="0.25">
      <c r="B24" s="1" t="s">
        <v>35</v>
      </c>
      <c r="G24" s="12"/>
    </row>
    <row r="25" spans="1:50" x14ac:dyDescent="0.25">
      <c r="B25" s="32" t="s">
        <v>118</v>
      </c>
    </row>
    <row r="26" spans="1:50" x14ac:dyDescent="0.25">
      <c r="B26" s="33" t="s">
        <v>47</v>
      </c>
    </row>
    <row r="27" spans="1:50" x14ac:dyDescent="0.25">
      <c r="B27" s="33" t="s">
        <v>9</v>
      </c>
    </row>
    <row r="28" spans="1:50" x14ac:dyDescent="0.25">
      <c r="B28" s="33" t="s">
        <v>53</v>
      </c>
    </row>
    <row r="29" spans="1:50" x14ac:dyDescent="0.25">
      <c r="B29" s="33" t="s">
        <v>120</v>
      </c>
    </row>
  </sheetData>
  <sheetProtection selectLockedCells="1"/>
  <mergeCells count="17">
    <mergeCell ref="AM1:AN1"/>
    <mergeCell ref="AP1:AQ1"/>
    <mergeCell ref="AS1:AT1"/>
    <mergeCell ref="AV1:AW1"/>
    <mergeCell ref="AG1:AH1"/>
    <mergeCell ref="AJ1:AK1"/>
    <mergeCell ref="A13:A18"/>
    <mergeCell ref="U1:V1"/>
    <mergeCell ref="X1:Y1"/>
    <mergeCell ref="AA1:AB1"/>
    <mergeCell ref="AD1:AE1"/>
    <mergeCell ref="C1:D1"/>
    <mergeCell ref="F1:G1"/>
    <mergeCell ref="I1:J1"/>
    <mergeCell ref="L1:M1"/>
    <mergeCell ref="O1:P1"/>
    <mergeCell ref="R1:S1"/>
  </mergeCells>
  <dataValidations count="5">
    <dataValidation type="list" allowBlank="1" showInputMessage="1" showErrorMessage="1" sqref="X2 AA2 AD2 O2 L2 I2 F2 C2 U2 R2 AG2 AJ2 AP2 AS2 AV2 AM2" xr:uid="{042DC746-9D48-449A-8B32-B08813DDBA32}">
      <formula1>AusbildungSTV</formula1>
    </dataValidation>
    <dataValidation type="list" allowBlank="1" showInputMessage="1" showErrorMessage="1" sqref="X4 AA4 AD4 O4 L4 I4 F4 C4 U4 R4 AG4 AJ4 AP4 AS4 AV4 AM4" xr:uid="{7E5D2212-1923-4A3B-8954-5DE217D60DF8}">
      <formula1>Erfahrung</formula1>
    </dataValidation>
    <dataValidation type="list" allowBlank="1" showInputMessage="1" showErrorMessage="1" sqref="X5 AA5 AD5 O5 L5 I5 F5 C5 U5 R5 AG5 AJ5 AP5 AS5 AV5 AM5" xr:uid="{C6460672-DA84-48BC-9B49-B78082C0DA07}">
      <formula1>Gruppengröße</formula1>
    </dataValidation>
    <dataValidation type="list" allowBlank="1" showInputMessage="1" showErrorMessage="1" sqref="X6 AA6 AD6 O6 L6 I6 F6 C6 U6 R6 AG6 AJ6 AP6 AS6 AV6 AM6" xr:uid="{A106D67C-1854-4C43-A148-5521A79D1D83}">
      <formula1>Wettkampfbeteiligung</formula1>
    </dataValidation>
    <dataValidation type="list" allowBlank="1" showInputMessage="1" showErrorMessage="1" sqref="X3 AA3 AD3 O3 L3 I3 F3 C3 U3 R3 AG3 AJ3 AP3 AS3 AV3 AM3" xr:uid="{680A12D7-4177-4FA0-B21B-8AA2896D7F5A}">
      <formula1>Lizenz</formula1>
    </dataValidation>
  </dataValidations>
  <pageMargins left="0.70866141732283472" right="0.70866141732283472" top="0.78740157480314965" bottom="0.78740157480314965" header="0.31496062992125984" footer="0.31496062992125984"/>
  <pageSetup paperSize="9" scale="75" fitToWidth="4" orientation="landscape" r:id="rId1"/>
  <headerFooter>
    <oddHeader>&amp;LSTV Artlenburg&amp;R&amp;G</oddHeader>
    <oddFooter>&amp;LAndreas Philipp / Kassenwart&amp;RStand 02.11.2015</oddFooter>
  </headerFooter>
  <colBreaks count="3" manualBreakCount="3">
    <brk id="14" max="37" man="1"/>
    <brk id="26" max="37" man="1"/>
    <brk id="41" max="37"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0B0B9-0E41-48F7-836D-DF95616325B6}">
  <dimension ref="A1:A5"/>
  <sheetViews>
    <sheetView workbookViewId="0">
      <selection sqref="A1:A5"/>
    </sheetView>
  </sheetViews>
  <sheetFormatPr baseColWidth="10" defaultColWidth="11.42578125" defaultRowHeight="15" x14ac:dyDescent="0.25"/>
  <sheetData>
    <row r="1" spans="1:1" x14ac:dyDescent="0.25">
      <c r="A1" t="s">
        <v>121</v>
      </c>
    </row>
    <row r="3" spans="1:1" x14ac:dyDescent="0.25">
      <c r="A3" t="s">
        <v>122</v>
      </c>
    </row>
    <row r="4" spans="1:1" x14ac:dyDescent="0.25">
      <c r="A4" t="s">
        <v>123</v>
      </c>
    </row>
    <row r="5" spans="1:1" x14ac:dyDescent="0.25">
      <c r="A5" t="s">
        <v>124</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A399-477D-4149-BF90-06CCE13BB380}">
  <dimension ref="A1:H7"/>
  <sheetViews>
    <sheetView zoomScaleNormal="100" workbookViewId="0">
      <selection activeCell="AD5" sqref="AD5"/>
    </sheetView>
  </sheetViews>
  <sheetFormatPr baseColWidth="10" defaultColWidth="11.42578125" defaultRowHeight="15" x14ac:dyDescent="0.25"/>
  <cols>
    <col min="1" max="2" width="29.42578125" customWidth="1"/>
  </cols>
  <sheetData>
    <row r="1" spans="1:8" x14ac:dyDescent="0.25">
      <c r="A1" s="56" t="s">
        <v>35</v>
      </c>
      <c r="B1" s="66" t="s">
        <v>36</v>
      </c>
      <c r="C1" s="57"/>
      <c r="D1" s="57" t="s">
        <v>125</v>
      </c>
      <c r="E1" s="57" t="s">
        <v>126</v>
      </c>
      <c r="F1" s="57" t="s">
        <v>127</v>
      </c>
      <c r="G1" s="58" t="s">
        <v>128</v>
      </c>
    </row>
    <row r="2" spans="1:8" x14ac:dyDescent="0.25">
      <c r="A2" s="61" t="s">
        <v>47</v>
      </c>
      <c r="B2" s="67" t="s">
        <v>48</v>
      </c>
      <c r="C2" s="55"/>
      <c r="D2" s="55">
        <v>90</v>
      </c>
      <c r="E2" s="55">
        <v>90</v>
      </c>
      <c r="F2" s="55">
        <v>60</v>
      </c>
      <c r="G2" s="60">
        <v>90</v>
      </c>
      <c r="H2" s="65">
        <f t="shared" ref="H2" si="0">SUM(D2:G2)</f>
        <v>330</v>
      </c>
    </row>
    <row r="3" spans="1:8" x14ac:dyDescent="0.25">
      <c r="A3" s="61" t="s">
        <v>50</v>
      </c>
      <c r="B3" s="67" t="s">
        <v>51</v>
      </c>
      <c r="C3" s="55"/>
      <c r="D3" s="55">
        <v>30</v>
      </c>
      <c r="E3" s="55">
        <v>30</v>
      </c>
      <c r="F3" s="55">
        <v>20</v>
      </c>
      <c r="G3" s="60">
        <v>30</v>
      </c>
      <c r="H3" s="65">
        <f>SUM(D3:G3)</f>
        <v>110</v>
      </c>
    </row>
    <row r="4" spans="1:8" x14ac:dyDescent="0.25">
      <c r="A4" s="61" t="s">
        <v>53</v>
      </c>
      <c r="B4" s="67" t="s">
        <v>129</v>
      </c>
      <c r="C4" s="55"/>
      <c r="D4" s="55">
        <v>30</v>
      </c>
      <c r="E4" s="55">
        <v>30</v>
      </c>
      <c r="F4" s="70"/>
      <c r="G4" s="71"/>
      <c r="H4" s="65">
        <f>D4+E4</f>
        <v>60</v>
      </c>
    </row>
    <row r="5" spans="1:8" x14ac:dyDescent="0.25">
      <c r="A5" s="61" t="s">
        <v>53</v>
      </c>
      <c r="B5" s="67" t="s">
        <v>54</v>
      </c>
      <c r="C5" s="55"/>
      <c r="D5" s="55">
        <v>90</v>
      </c>
      <c r="E5" s="55">
        <v>90</v>
      </c>
      <c r="F5" s="55">
        <v>90</v>
      </c>
      <c r="G5" s="60">
        <v>60</v>
      </c>
      <c r="H5" s="65">
        <f>SUM(C5:G5)</f>
        <v>330</v>
      </c>
    </row>
    <row r="6" spans="1:8" x14ac:dyDescent="0.25">
      <c r="A6" s="61" t="s">
        <v>130</v>
      </c>
      <c r="B6" s="67" t="s">
        <v>131</v>
      </c>
      <c r="C6" s="55"/>
      <c r="D6" s="55">
        <v>20</v>
      </c>
      <c r="E6" s="55">
        <v>30</v>
      </c>
      <c r="F6" s="70"/>
      <c r="G6" s="71"/>
      <c r="H6" s="65">
        <f>D6+E6</f>
        <v>50</v>
      </c>
    </row>
    <row r="7" spans="1:8" x14ac:dyDescent="0.25">
      <c r="G7" s="65"/>
      <c r="H7" s="65">
        <f>SUM(H2:H6)</f>
        <v>880</v>
      </c>
    </row>
  </sheetData>
  <pageMargins left="0.70866141732283472" right="0.70866141732283472" top="0.78740157480314965" bottom="0.78740157480314965" header="0.31496062992125984" footer="0.31496062992125984"/>
  <pageSetup paperSize="9"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42</vt:i4>
      </vt:variant>
    </vt:vector>
  </HeadingPairs>
  <TitlesOfParts>
    <vt:vector size="63" baseType="lpstr">
      <vt:lpstr>Berechnung_2019</vt:lpstr>
      <vt:lpstr>Trainer2019</vt:lpstr>
      <vt:lpstr>Abrechnung</vt:lpstr>
      <vt:lpstr>Teilnehmerliste</vt:lpstr>
      <vt:lpstr>Vorgabe_ab_2023</vt:lpstr>
      <vt:lpstr>Beiträge</vt:lpstr>
      <vt:lpstr>Berechnung_2018</vt:lpstr>
      <vt:lpstr>Kurse2018</vt:lpstr>
      <vt:lpstr>Trainer2018</vt:lpstr>
      <vt:lpstr>Trainer2017</vt:lpstr>
      <vt:lpstr>Berechnung_2017</vt:lpstr>
      <vt:lpstr>emailserie</vt:lpstr>
      <vt:lpstr>emailserie_trainer</vt:lpstr>
      <vt:lpstr>Berechnung_2016</vt:lpstr>
      <vt:lpstr>Trainer2016</vt:lpstr>
      <vt:lpstr>Vorgabe_2016</vt:lpstr>
      <vt:lpstr>Trainer2015</vt:lpstr>
      <vt:lpstr>Berechnung_2015</vt:lpstr>
      <vt:lpstr>Berechnung_2015_1</vt:lpstr>
      <vt:lpstr>Vorgabe_2012</vt:lpstr>
      <vt:lpstr>Übungsleitergehälter_2005</vt:lpstr>
      <vt:lpstr>Vorgabe_2012!Ausbildung</vt:lpstr>
      <vt:lpstr>Vorgabe_2016!Ausbildung</vt:lpstr>
      <vt:lpstr>Vorgabe_ab_2023!Ausbildung</vt:lpstr>
      <vt:lpstr>Ausbildung</vt:lpstr>
      <vt:lpstr>Vorgabe_2016!AusbildungSTV</vt:lpstr>
      <vt:lpstr>Vorgabe_ab_2023!AusbildungSTV</vt:lpstr>
      <vt:lpstr>AusbildungSTV</vt:lpstr>
      <vt:lpstr>Abrechnung!Druckbereich</vt:lpstr>
      <vt:lpstr>Berechnung_2015!Druckbereich</vt:lpstr>
      <vt:lpstr>Berechnung_2015_1!Druckbereich</vt:lpstr>
      <vt:lpstr>Berechnung_2016!Druckbereich</vt:lpstr>
      <vt:lpstr>Berechnung_2017!Druckbereich</vt:lpstr>
      <vt:lpstr>Berechnung_2018!Druckbereich</vt:lpstr>
      <vt:lpstr>Berechnung_2019!Druckbereich</vt:lpstr>
      <vt:lpstr>Trainer2015!Druckbereich</vt:lpstr>
      <vt:lpstr>Trainer2016!Druckbereich</vt:lpstr>
      <vt:lpstr>Trainer2017!Druckbereich</vt:lpstr>
      <vt:lpstr>Trainer2018!Druckbereich</vt:lpstr>
      <vt:lpstr>Trainer2019!Druckbereich</vt:lpstr>
      <vt:lpstr>Vorgabe_2012!Druckbereich</vt:lpstr>
      <vt:lpstr>Vorgabe_2016!Druckbereich</vt:lpstr>
      <vt:lpstr>Vorgabe_ab_2023!Druckbereich</vt:lpstr>
      <vt:lpstr>Berechnung_2015!Drucktitel</vt:lpstr>
      <vt:lpstr>Berechnung_2015_1!Drucktitel</vt:lpstr>
      <vt:lpstr>Berechnung_2016!Drucktitel</vt:lpstr>
      <vt:lpstr>Berechnung_2017!Drucktitel</vt:lpstr>
      <vt:lpstr>Berechnung_2018!Drucktitel</vt:lpstr>
      <vt:lpstr>Berechnung_2019!Drucktitel</vt:lpstr>
      <vt:lpstr>Teilnehmerliste!Drucktitel</vt:lpstr>
      <vt:lpstr>Vorgabe_2016!Erfahrung</vt:lpstr>
      <vt:lpstr>Vorgabe_ab_2023!Erfahrung</vt:lpstr>
      <vt:lpstr>Erfahrung</vt:lpstr>
      <vt:lpstr>Vorgabe_2016!Gruppengröße</vt:lpstr>
      <vt:lpstr>Vorgabe_ab_2023!Gruppengröße</vt:lpstr>
      <vt:lpstr>Gruppengröße</vt:lpstr>
      <vt:lpstr>Vorgabe_2016!Lizenz</vt:lpstr>
      <vt:lpstr>Vorgabe_ab_2023!Lizenz</vt:lpstr>
      <vt:lpstr>Lizenz</vt:lpstr>
      <vt:lpstr>Vorgabe_2012!Wettkampfbeteiligung</vt:lpstr>
      <vt:lpstr>Vorgabe_2016!Wettkampfbeteiligung</vt:lpstr>
      <vt:lpstr>Vorgabe_ab_2023!Wettkampfbeteiligung</vt:lpstr>
      <vt:lpstr>Wettkampfbeteiligung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andreas.philipp</dc:creator>
  <cp:keywords/>
  <dc:description/>
  <cp:lastModifiedBy>Andreas Philipp</cp:lastModifiedBy>
  <cp:revision/>
  <cp:lastPrinted>2024-03-30T11:55:48Z</cp:lastPrinted>
  <dcterms:created xsi:type="dcterms:W3CDTF">2011-06-04T18:47:17Z</dcterms:created>
  <dcterms:modified xsi:type="dcterms:W3CDTF">2024-03-30T11:55:52Z</dcterms:modified>
  <cp:category/>
  <cp:contentStatus/>
</cp:coreProperties>
</file>